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325" yWindow="65521" windowWidth="7170" windowHeight="7740" tabRatio="695" activeTab="3"/>
  </bookViews>
  <sheets>
    <sheet name="Hinweise" sheetId="1" r:id="rId1"/>
    <sheet name="Betriebsdaten" sheetId="2" r:id="rId2"/>
    <sheet name="DB-Milchvieh" sheetId="3" r:id="rId3"/>
    <sheet name="Investition" sheetId="4" r:id="rId4"/>
    <sheet name="Finanzierung" sheetId="5" r:id="rId5"/>
    <sheet name="Ergebnis" sheetId="6" r:id="rId6"/>
    <sheet name="Vergleich" sheetId="7" r:id="rId7"/>
  </sheets>
  <definedNames>
    <definedName name="_Order1" hidden="1">255</definedName>
    <definedName name="_Order2" hidden="1">255</definedName>
    <definedName name="a" hidden="1">{"Minerald?nger",#N/A,FALSE,"Minerald?nger";"Tierhaltung",#N/A,FALSE,"Tierhaltung";#N/A,#N/A,FALSE,"N-Bindung Leguminosen(Neu)";"PflanzlicheProdukte",#N/A,FALSE,"Pflanzliche Produkte"}</definedName>
    <definedName name="aa">#REF!</definedName>
    <definedName name="ab">#REF!</definedName>
    <definedName name="ac">#REF!</definedName>
    <definedName name="ad">#REF!</definedName>
    <definedName name="ae">#REF!</definedName>
    <definedName name="af">#REF!</definedName>
    <definedName name="ag">#REF!</definedName>
    <definedName name="ah">#REF!</definedName>
    <definedName name="ai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q">#REF!</definedName>
    <definedName name="aqgh" hidden="1">{"Minerald?nger",#N/A,FALSE,"Minerald?nger";"Tierhaltung",#N/A,FALSE,"Tierhaltung";#N/A,#N/A,FALSE,"N-Bindung Leguminosen(Neu)";"PflanzlicheProdukte",#N/A,FALSE,"Pflanzliche Produkte"}</definedName>
    <definedName name="bbbmm" hidden="1">{#N/A,#N/A,FALSE,"B1";#N/A,#N/A,FALSE,"B2";#N/A,#N/A,FALSE,"B3";#N/A,#N/A,FALSE,"B4";#N/A,#N/A,FALSE,"B5";#N/A,#N/A,FALSE,"B6";#N/A,#N/A,FALSE,"B7";#N/A,#N/A,FALSE,"B8";#N/A,#N/A,FALSE,"B9";#N/A,#N/A,FALSE,"B10"}</definedName>
    <definedName name="d" hidden="1">{#N/A,#N/A,FALSE,"B1";#N/A,#N/A,FALSE,"B2";#N/A,#N/A,FALSE,"B3";#N/A,#N/A,FALSE,"B4";#N/A,#N/A,FALSE,"B5";#N/A,#N/A,FALSE,"B6";#N/A,#N/A,FALSE,"B7";#N/A,#N/A,FALSE,"B8";#N/A,#N/A,FALSE,"B9";#N/A,#N/A,FALSE,"B10"}</definedName>
    <definedName name="_xlnm.Print_Area" localSheetId="1">'Betriebsdaten'!$A$1:$N$56</definedName>
    <definedName name="_xlnm.Print_Area" localSheetId="2">'DB-Milchvieh'!$B$1:$L$38</definedName>
    <definedName name="_xlnm.Print_Area" localSheetId="5">'Ergebnis'!$B$2:$K$54</definedName>
    <definedName name="_xlnm.Print_Area" localSheetId="4">'Finanzierung'!$A$2:$M$54</definedName>
    <definedName name="_xlnm.Print_Area" localSheetId="0">'Hinweise'!$B$2:$J$58,'Hinweise'!$B$60:$J$112,'Hinweise'!$B$114:$J$212,'Hinweise'!$B$214:$J$292</definedName>
    <definedName name="_xlnm.Print_Area" localSheetId="3">'Investition'!$B$1:$N$67</definedName>
    <definedName name="_xlnm.Print_Area" localSheetId="6">'Vergleich'!$B$1:$J$69</definedName>
    <definedName name="_xlnm.Print_Titles" localSheetId="4">'Finanzierung'!$1:$6</definedName>
    <definedName name="_xlnm.Print_Titles" localSheetId="3">'Investition'!$1:$1</definedName>
    <definedName name="eeeeeee" hidden="1">{#N/A,#N/A,FALSE,"B1";#N/A,#N/A,FALSE,"B2";#N/A,#N/A,FALSE,"B3";#N/A,#N/A,FALSE,"B4";#N/A,#N/A,FALSE,"B5";#N/A,#N/A,FALSE,"B6";#N/A,#N/A,FALSE,"B7";#N/A,#N/A,FALSE,"B8";#N/A,#N/A,FALSE,"B9";#N/A,#N/A,FALSE,"B10"}</definedName>
    <definedName name="f">#REF!</definedName>
    <definedName name="gr">#REF!</definedName>
    <definedName name="ka">#REF!</definedName>
    <definedName name="kb">#REF!</definedName>
    <definedName name="kc">#REF!</definedName>
    <definedName name="kd">#REF!</definedName>
    <definedName name="ke">#REF!</definedName>
    <definedName name="kf">#REF!</definedName>
    <definedName name="kg">#REF!</definedName>
    <definedName name="kh">#REF!</definedName>
    <definedName name="ki">#REF!</definedName>
    <definedName name="kk">#REF!</definedName>
    <definedName name="kkkkkkk" hidden="1">{"Minerald?nger",#N/A,FALSE,"Minerald?nger";"Tierhaltung",#N/A,FALSE,"Tierhaltung";#N/A,#N/A,FALSE,"N-Bindung Leguminosen(Neu)";"PflanzlicheProdukte",#N/A,FALSE,"Pflanzliche Produkte"}</definedName>
    <definedName name="kl">#REF!</definedName>
    <definedName name="km">#REF!</definedName>
    <definedName name="kn">#REF!</definedName>
    <definedName name="ko">#REF!</definedName>
    <definedName name="kp">#REF!</definedName>
    <definedName name="kq">#REF!</definedName>
    <definedName name="lll" hidden="1">{#N/A,#N/A,FALSE,"B1";#N/A,#N/A,FALSE,"B2";#N/A,#N/A,FALSE,"B3";#N/A,#N/A,FALSE,"B4";#N/A,#N/A,FALSE,"B5";#N/A,#N/A,FALSE,"B6";#N/A,#N/A,FALSE,"B7";#N/A,#N/A,FALSE,"B8";#N/A,#N/A,FALSE,"B9";#N/A,#N/A,FALSE,"B10"}</definedName>
    <definedName name="P" hidden="1">{#N/A,#N/A,FALSE,"B1";#N/A,#N/A,FALSE,"B2";#N/A,#N/A,FALSE,"B3";#N/A,#N/A,FALSE,"B4";#N/A,#N/A,FALSE,"B5";#N/A,#N/A,FALSE,"B6";#N/A,#N/A,FALSE,"B7";#N/A,#N/A,FALSE,"B8";#N/A,#N/A,FALSE,"B9";#N/A,#N/A,FALSE,"B10"}</definedName>
    <definedName name="plan">'Vergleich'!$M$9</definedName>
    <definedName name="qqqqqqqq" hidden="1">{#N/A,#N/A,FALSE,"B1";#N/A,#N/A,FALSE,"B2";#N/A,#N/A,FALSE,"B3";#N/A,#N/A,FALSE,"B4";#N/A,#N/A,FALSE,"B5";#N/A,#N/A,FALSE,"B6";#N/A,#N/A,FALSE,"B7";#N/A,#N/A,FALSE,"B8";#N/A,#N/A,FALSE,"B9";#N/A,#N/A,FALSE,"B10"}</definedName>
    <definedName name="sdg" hidden="1">{"Minerald?nger",#N/A,FALSE,"Minerald?nger";"Tierhaltung",#N/A,FALSE,"Tierhaltung";#N/A,#N/A,FALSE,"N-Bindung Leguminosen(Neu)";"PflanzlicheProdukte",#N/A,FALSE,"Pflanzliche Produkte"}</definedName>
    <definedName name="sw" hidden="1">{#N/A,#N/A,FALSE,"B1";#N/A,#N/A,FALSE,"B2";#N/A,#N/A,FALSE,"B3";#N/A,#N/A,FALSE,"B4";#N/A,#N/A,FALSE,"B5";#N/A,#N/A,FALSE,"B6";#N/A,#N/A,FALSE,"B7";#N/A,#N/A,FALSE,"B8";#N/A,#N/A,FALSE,"B9";#N/A,#N/A,FALSE,"B10"}</definedName>
    <definedName name="wrn.Alles._.drucken." localSheetId="4" hidden="1">{#N/A,#N/A,FALSE,"B1";#N/A,#N/A,FALSE,"B2";#N/A,#N/A,FALSE,"B3";#N/A,#N/A,FALSE,"B4";#N/A,#N/A,FALSE,"B5";#N/A,#N/A,FALSE,"B6";#N/A,#N/A,FALSE,"B7";#N/A,#N/A,FALSE,"B8";#N/A,#N/A,FALSE,"B9";#N/A,#N/A,FALSE,"B10"}</definedName>
    <definedName name="wrn.Alles._.drucken." hidden="1">{#N/A,#N/A,FALSE,"B1";#N/A,#N/A,FALSE,"B2";#N/A,#N/A,FALSE,"B3";#N/A,#N/A,FALSE,"B4";#N/A,#N/A,FALSE,"B5";#N/A,#N/A,FALSE,"B6";#N/A,#N/A,FALSE,"B7";#N/A,#N/A,FALSE,"B8";#N/A,#N/A,FALSE,"B9";#N/A,#N/A,FALSE,"B10"}</definedName>
    <definedName name="wrn.Tabellen." localSheetId="4" hidden="1">{"Minerald?nger",#N/A,FALSE,"Minerald?nger";"Tierhaltung",#N/A,FALSE,"Tierhaltung";#N/A,#N/A,FALSE,"N-Bindung Leguminosen(Neu)";"PflanzlicheProdukte",#N/A,FALSE,"Pflanzliche Produkte"}</definedName>
    <definedName name="wrn.Tabellen." hidden="1">{"Minerald?nger",#N/A,FALSE,"Minerald?nger";"Tierhaltung",#N/A,FALSE,"Tierhaltung";#N/A,#N/A,FALSE,"N-Bindung Leguminosen(Neu)";"PflanzlicheProdukte",#N/A,FALSE,"Pflanzliche Produkte"}</definedName>
    <definedName name="xxxxxx" hidden="1">{#N/A,#N/A,FALSE,"B1";#N/A,#N/A,FALSE,"B2";#N/A,#N/A,FALSE,"B3";#N/A,#N/A,FALSE,"B4";#N/A,#N/A,FALSE,"B5";#N/A,#N/A,FALSE,"B6";#N/A,#N/A,FALSE,"B7";#N/A,#N/A,FALSE,"B8";#N/A,#N/A,FALSE,"B9";#N/A,#N/A,FALSE,"B10"}</definedName>
    <definedName name="Z_CC590A13_34B2_481E_A6B1_900C85346351_.wvu.Cols" localSheetId="1" hidden="1">'Betriebsdaten'!$P:$Q</definedName>
    <definedName name="Z_CC590A13_34B2_481E_A6B1_900C85346351_.wvu.Cols" localSheetId="2" hidden="1">'DB-Milchvieh'!$M:$N,'DB-Milchvieh'!$P:$U</definedName>
    <definedName name="Z_CC590A13_34B2_481E_A6B1_900C85346351_.wvu.Cols" localSheetId="5" hidden="1">'Ergebnis'!$L:$N</definedName>
    <definedName name="Z_CC590A13_34B2_481E_A6B1_900C85346351_.wvu.Cols" localSheetId="6" hidden="1">'Vergleich'!$K:$K</definedName>
    <definedName name="Z_CC590A13_34B2_481E_A6B1_900C85346351_.wvu.PrintArea" localSheetId="1" hidden="1">'Betriebsdaten'!$B$1:$N$56</definedName>
    <definedName name="Z_CC590A13_34B2_481E_A6B1_900C85346351_.wvu.PrintArea" localSheetId="2" hidden="1">'DB-Milchvieh'!$B$1:$L$38</definedName>
    <definedName name="Z_CC590A13_34B2_481E_A6B1_900C85346351_.wvu.PrintArea" localSheetId="5" hidden="1">'Ergebnis'!$B$2:$K$54</definedName>
    <definedName name="Z_CC590A13_34B2_481E_A6B1_900C85346351_.wvu.PrintArea" localSheetId="0" hidden="1">'Hinweise'!$B$2:$J$58,'Hinweise'!$B$60:$J$112,'Hinweise'!$B$114:$J$212,'Hinweise'!$B$214:$J$292</definedName>
    <definedName name="Z_CC590A13_34B2_481E_A6B1_900C85346351_.wvu.PrintArea" localSheetId="6" hidden="1">'Vergleich'!$B$2:$J$73</definedName>
    <definedName name="Z_CC590A13_34B2_481E_A6B1_900C85346351_.wvu.Rows" localSheetId="1" hidden="1">'Betriebsdaten'!$20:$22,'Betriebsdaten'!$59:$62</definedName>
    <definedName name="Z_CC590A13_34B2_481E_A6B1_900C85346351_.wvu.Rows" localSheetId="2" hidden="1">'DB-Milchvieh'!$40:$40</definedName>
    <definedName name="Z_CC590A13_34B2_481E_A6B1_900C85346351_.wvu.Rows" localSheetId="5" hidden="1">'Ergebnis'!#REF!</definedName>
    <definedName name="Z_E46F02C3_1CAB_44C5_B4EE_7C505F7E1192_.wvu.Cols" localSheetId="1" hidden="1">'Betriebsdaten'!$P:$Q</definedName>
    <definedName name="Z_E46F02C3_1CAB_44C5_B4EE_7C505F7E1192_.wvu.Cols" localSheetId="2" hidden="1">'DB-Milchvieh'!$M:$N,'DB-Milchvieh'!$P:$U</definedName>
    <definedName name="Z_E46F02C3_1CAB_44C5_B4EE_7C505F7E1192_.wvu.Cols" localSheetId="5" hidden="1">'Ergebnis'!$L:$N</definedName>
    <definedName name="Z_E46F02C3_1CAB_44C5_B4EE_7C505F7E1192_.wvu.Cols" localSheetId="6" hidden="1">'Vergleich'!$K:$K</definedName>
    <definedName name="Z_E46F02C3_1CAB_44C5_B4EE_7C505F7E1192_.wvu.PrintArea" localSheetId="1" hidden="1">'Betriebsdaten'!$B$1:$N$56</definedName>
    <definedName name="Z_E46F02C3_1CAB_44C5_B4EE_7C505F7E1192_.wvu.PrintArea" localSheetId="2" hidden="1">'DB-Milchvieh'!$B$1:$L$38</definedName>
    <definedName name="Z_E46F02C3_1CAB_44C5_B4EE_7C505F7E1192_.wvu.PrintArea" localSheetId="5" hidden="1">'Ergebnis'!$B$2:$K$54</definedName>
    <definedName name="Z_E46F02C3_1CAB_44C5_B4EE_7C505F7E1192_.wvu.PrintArea" localSheetId="0" hidden="1">'Hinweise'!$B$2:$J$58,'Hinweise'!$B$60:$J$112,'Hinweise'!$B$114:$J$212,'Hinweise'!$B$214:$J$292</definedName>
    <definedName name="Z_E46F02C3_1CAB_44C5_B4EE_7C505F7E1192_.wvu.PrintArea" localSheetId="6" hidden="1">'Vergleich'!$B$2:$J$73</definedName>
    <definedName name="Z_E46F02C3_1CAB_44C5_B4EE_7C505F7E1192_.wvu.Rows" localSheetId="1" hidden="1">'Betriebsdaten'!$20:$22,'Betriebsdaten'!$59:$62</definedName>
    <definedName name="Z_E46F02C3_1CAB_44C5_B4EE_7C505F7E1192_.wvu.Rows" localSheetId="2" hidden="1">'DB-Milchvieh'!$40:$40</definedName>
    <definedName name="Z_E46F02C3_1CAB_44C5_B4EE_7C505F7E1192_.wvu.Rows" localSheetId="5" hidden="1">'Ergebnis'!#REF!</definedName>
    <definedName name="ZUIST">#REF!</definedName>
    <definedName name="ZUSTÜCKIST">#REF!</definedName>
  </definedNames>
  <calcPr fullCalcOnLoad="1"/>
</workbook>
</file>

<file path=xl/comments3.xml><?xml version="1.0" encoding="utf-8"?>
<comments xmlns="http://schemas.openxmlformats.org/spreadsheetml/2006/main">
  <authors>
    <author>Richard M?ller</author>
    <author>BaegerC</author>
  </authors>
  <commentList>
    <comment ref="E12" authorId="0">
      <text>
        <r>
          <rPr>
            <sz val="8"/>
            <rFont val="Tahoma"/>
            <family val="0"/>
          </rPr>
          <t xml:space="preserve">Anteilige Schlachtprämie plus 
Preisausgleich Milch.
</t>
        </r>
      </text>
    </comment>
    <comment ref="D6" authorId="1">
      <text>
        <r>
          <rPr>
            <b/>
            <sz val="8"/>
            <rFont val="Tahoma"/>
            <family val="0"/>
          </rPr>
          <t>z.B. MEKA für bedrohte Nutztierrassen</t>
        </r>
      </text>
    </comment>
  </commentList>
</comments>
</file>

<file path=xl/comments4.xml><?xml version="1.0" encoding="utf-8"?>
<comments xmlns="http://schemas.openxmlformats.org/spreadsheetml/2006/main">
  <authors>
    <author>Heinz Wittmann</author>
    <author>BaegerC</author>
  </authors>
  <commentList>
    <comment ref="J11" authorId="0">
      <text>
        <r>
          <rPr>
            <sz val="8"/>
            <rFont val="Tahoma"/>
            <family val="2"/>
          </rPr>
          <t xml:space="preserve">Die Aufteilung eines
Rindviehstalles in
Milchkuhstall und
Rinderaufzucht-/maststall
ist wegen dem BMVEL
erforderlich.
Im VN des MLR ist die
Aufteilung in dieser
Art nicht nötig.
</t>
        </r>
      </text>
    </comment>
    <comment ref="J12" authorId="0">
      <text>
        <r>
          <rPr>
            <sz val="8"/>
            <rFont val="Tahoma"/>
            <family val="2"/>
          </rPr>
          <t xml:space="preserve">Die Aufteilung eines
Rindviehstalles in
Milchkuhstall und
Rinderaufzucht-/maststall
ist wegen dem BMVEL
erforderlich.
Im VN des MLR ist die
Aufteilung in dieser
Art nicht nötig.
</t>
        </r>
      </text>
    </comment>
    <comment ref="J13" authorId="0">
      <text>
        <r>
          <rPr>
            <sz val="8"/>
            <rFont val="Tahoma"/>
            <family val="2"/>
          </rPr>
          <t xml:space="preserve">Die Aufteilung eines
Rindviehstalles in
Milchkuhstall und
Rinderaufzucht-/maststall
ist wegen dem BMVEL
erforderlich.
Im VN des MLR ist die
Aufteilung in dieser
Art nicht nötig.
</t>
        </r>
      </text>
    </comment>
    <comment ref="J6" authorId="0">
      <text>
        <r>
          <rPr>
            <sz val="8"/>
            <rFont val="Tahoma"/>
            <family val="0"/>
          </rPr>
          <t>Ausgaben beinhalten
nicht die "unbaren
Eigenleistungen"
(siehe Zeilen 61 bis 65)</t>
        </r>
      </text>
    </comment>
    <comment ref="I27" authorId="1">
      <text>
        <r>
          <rPr>
            <b/>
            <sz val="8"/>
            <rFont val="Tahoma"/>
            <family val="0"/>
          </rPr>
          <t>Bitte ankreuzen, wenn Kosten für Zuschuss für Betreuung möglich!</t>
        </r>
      </text>
    </comment>
    <comment ref="I28" authorId="1">
      <text>
        <r>
          <rPr>
            <b/>
            <sz val="8"/>
            <rFont val="Tahoma"/>
            <family val="0"/>
          </rPr>
          <t>Bitte ankreuzen, wenn Kosten für Zuschuss für Betreuung möglich!</t>
        </r>
      </text>
    </comment>
    <comment ref="I29" authorId="1">
      <text>
        <r>
          <rPr>
            <b/>
            <sz val="8"/>
            <rFont val="Tahoma"/>
            <family val="0"/>
          </rPr>
          <t>Bitte ankreuzen, wenn Kosten für Zuschuss für Betreuung möglich!</t>
        </r>
      </text>
    </comment>
    <comment ref="N11" authorId="1">
      <text>
        <r>
          <rPr>
            <b/>
            <sz val="8"/>
            <rFont val="Tahoma"/>
            <family val="0"/>
          </rPr>
          <t xml:space="preserve">Bitte"a" eintragen, wenn erhöhter Zuschuss für Bau mit besonderen Anforderungen in der Tierhaltung lt. Anlage möglich!
</t>
        </r>
      </text>
    </comment>
  </commentList>
</comments>
</file>

<file path=xl/comments5.xml><?xml version="1.0" encoding="utf-8"?>
<comments xmlns="http://schemas.openxmlformats.org/spreadsheetml/2006/main">
  <authors>
    <author>BaegerC</author>
    <author>magerg</author>
  </authors>
  <commentList>
    <comment ref="J20" authorId="0">
      <text>
        <r>
          <rPr>
            <b/>
            <sz val="8"/>
            <rFont val="Tahoma"/>
            <family val="0"/>
          </rPr>
          <t>Maximaler Zuschuss z.Zt. 20.000€</t>
        </r>
        <r>
          <rPr>
            <sz val="8"/>
            <rFont val="Tahoma"/>
            <family val="0"/>
          </rPr>
          <t xml:space="preserve">
</t>
        </r>
      </text>
    </comment>
    <comment ref="H37" authorId="1">
      <text>
        <r>
          <rPr>
            <b/>
            <sz val="8"/>
            <rFont val="Tahoma"/>
            <family val="0"/>
          </rPr>
          <t>durchschnittliche Nutzungsdauer der getätigten Investition berücksichtigen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</authors>
  <commentList>
    <comment ref="I10" authorId="0">
      <text>
        <r>
          <rPr>
            <sz val="8"/>
            <rFont val="Tahoma"/>
            <family val="0"/>
          </rPr>
          <t>=Anzahl Kühe im ZIEL x Tatsächliche Milchleistung - Referenzmenge im IST</t>
        </r>
      </text>
    </comment>
  </commentList>
</comments>
</file>

<file path=xl/sharedStrings.xml><?xml version="1.0" encoding="utf-8"?>
<sst xmlns="http://schemas.openxmlformats.org/spreadsheetml/2006/main" count="777" uniqueCount="587">
  <si>
    <t xml:space="preserve">€ </t>
  </si>
  <si>
    <t>Die angestrebte Erhöhung des Einkommensbeitrages wird also unabhängig von einer eventuellen Veränd-</t>
  </si>
  <si>
    <t>erung des Arbeitszeitbedarfes ermittelt.</t>
  </si>
  <si>
    <t>Werden für einen Betrieb verschiedene Pläne (z.B. mit unterschiedlichen Baukosten, Förderungsalter-</t>
  </si>
  <si>
    <t xml:space="preserve">nativen, Milchpreisen etc.) kalkuliert, können die Ergebnisse in einer Übersicht im Arbeitsblatt [Vergleich] </t>
  </si>
  <si>
    <t xml:space="preserve">Um einen neuen Plan zu rechnen, werden nur die zu ändernden Eingaben des vorherigen Planes </t>
  </si>
  <si>
    <t>überschrieben.</t>
  </si>
  <si>
    <t xml:space="preserve">Wird im Arbeitsblatt [Betriebsdaten] für das Ziel ein niedrigerer Milchpreis eingegeben, als er zur Zeit erzielt </t>
  </si>
  <si>
    <t>wird, ist folgendes zu beachten:</t>
  </si>
  <si>
    <t xml:space="preserve">Ein sinkender Milchpreis führt auch ohne die Baumaßnahme zu einem sinkenden Einkommen. Für die </t>
  </si>
  <si>
    <t xml:space="preserve">Beurteilung der Rentabilität der Baumaßnahme wird der Effekt einer Milchpreissenkung auf die </t>
  </si>
  <si>
    <t xml:space="preserve">menge infolge der Baumaßnahme (mehr Kühe, höhere Leistung) wird der veränderte Milchpreis </t>
  </si>
  <si>
    <t>dagegen berücksichtigt.</t>
  </si>
  <si>
    <t>Investitionsbedarf der Maßnahme</t>
  </si>
  <si>
    <t>B A U K U H</t>
  </si>
  <si>
    <t>Rentabilität von Investitionen in der Milchviehhaltung</t>
  </si>
  <si>
    <t xml:space="preserve"> I. </t>
  </si>
  <si>
    <t>Problemstellung - Programmaufbau</t>
  </si>
  <si>
    <t>Dateneingabe</t>
  </si>
  <si>
    <t>Die Eingabefelder sind gelb hinterlegt.</t>
  </si>
  <si>
    <t>Mit der TAB-Taste können Sie bequem von Eingabe- zu Eingabefeld springen.</t>
  </si>
  <si>
    <t xml:space="preserve"> II.</t>
  </si>
  <si>
    <t>Betriebsdaten</t>
  </si>
  <si>
    <t>Plan</t>
  </si>
  <si>
    <t>Für einen Betrieb können 4 verschiedene Pläne gerechnet werden, z.B. mit unterschiedlichen Baukosten,</t>
  </si>
  <si>
    <t xml:space="preserve">Quotenkosten usw.. </t>
  </si>
  <si>
    <t>Das Zieljahr entspricht dem Jahr des Abschlusses der Baumaßnahme.</t>
  </si>
  <si>
    <t>Übersicht: Anhaltswerte für Grundfutterkosten je 10 MJ NEL</t>
  </si>
  <si>
    <t xml:space="preserve">Ertrag              </t>
  </si>
  <si>
    <t xml:space="preserve">variable          </t>
  </si>
  <si>
    <t xml:space="preserve">Pacht            </t>
  </si>
  <si>
    <t xml:space="preserve">Sonstige </t>
  </si>
  <si>
    <t xml:space="preserve">Gesamtkosten ./. Prämien              </t>
  </si>
  <si>
    <t xml:space="preserve">Kosten    </t>
  </si>
  <si>
    <t xml:space="preserve">Festkosten </t>
  </si>
  <si>
    <t>prämien</t>
  </si>
  <si>
    <t xml:space="preserve">je ha </t>
  </si>
  <si>
    <t xml:space="preserve"> je 10 MJ NEL    </t>
  </si>
  <si>
    <t>Grünland</t>
  </si>
  <si>
    <t xml:space="preserve"> - niedrig</t>
  </si>
  <si>
    <t xml:space="preserve"> - mittel</t>
  </si>
  <si>
    <t xml:space="preserve"> - hoch</t>
  </si>
  <si>
    <t>Ackerfutter</t>
  </si>
  <si>
    <t xml:space="preserve"> III.</t>
  </si>
  <si>
    <t>Deckungsbeitragskalkulation Milchvieh</t>
  </si>
  <si>
    <t xml:space="preserve"> IV.</t>
  </si>
  <si>
    <t>Finanzierung, Kapitaldienst und Jahreskosten</t>
  </si>
  <si>
    <t xml:space="preserve"> V.</t>
  </si>
  <si>
    <t>Ergebnis zur Rentabilität</t>
  </si>
  <si>
    <t>Vom DB werden Grundfutterkosten und - bei Milchkühen - die Kosten der Quote abgezogen.</t>
  </si>
  <si>
    <t xml:space="preserve">Notwendige Leistungssteigerung zur Abdeckung der restlichen Maßnahmenkosten </t>
  </si>
  <si>
    <t xml:space="preserve">    </t>
  </si>
  <si>
    <t>kg</t>
  </si>
  <si>
    <t xml:space="preserve"> -</t>
  </si>
  <si>
    <t xml:space="preserve"> / </t>
  </si>
  <si>
    <t>Kühe</t>
  </si>
  <si>
    <t xml:space="preserve"> =</t>
  </si>
  <si>
    <t>kg/Kuh</t>
  </si>
  <si>
    <t>Milchleistungsveränderung zur Abdeckung der Maßnahmenkosten und des</t>
  </si>
  <si>
    <t xml:space="preserve"> </t>
  </si>
  <si>
    <t xml:space="preserve"> +</t>
  </si>
  <si>
    <t>Milchleistungsveränderung zur Abdeckung der Maßnahmenkosten und der</t>
  </si>
  <si>
    <t xml:space="preserve"> VI.</t>
  </si>
  <si>
    <t>Vergleich</t>
  </si>
  <si>
    <t xml:space="preserve">  </t>
  </si>
  <si>
    <t xml:space="preserve"> Unternehmen:</t>
  </si>
  <si>
    <t xml:space="preserve">Datum der Berechnung: </t>
  </si>
  <si>
    <t xml:space="preserve"> Ort :</t>
  </si>
  <si>
    <t xml:space="preserve">Zieljahr: </t>
  </si>
  <si>
    <t xml:space="preserve"> Plan: </t>
  </si>
  <si>
    <t xml:space="preserve"> Referenzmenge im IST </t>
  </si>
  <si>
    <t xml:space="preserve"> Anzahl der Kühe im IST</t>
  </si>
  <si>
    <t xml:space="preserve">  Anzahl der Kühe im ZIEL</t>
  </si>
  <si>
    <t xml:space="preserve">  Anzahl Jungvieh im ZIEL </t>
  </si>
  <si>
    <t xml:space="preserve"> (Errechnete) Milchleistung/Kuh</t>
  </si>
  <si>
    <t xml:space="preserve">  Tatsächl. Milchleist./Kuh</t>
  </si>
  <si>
    <t>max. zuwendungsf. Investitionsvol.</t>
  </si>
  <si>
    <t xml:space="preserve"> (Referenzmenge dividiert durch Anzahl Kühe IST)</t>
  </si>
  <si>
    <t>Fleckvieh</t>
  </si>
  <si>
    <t xml:space="preserve"> Kosten der Baumaßnahme </t>
  </si>
  <si>
    <t xml:space="preserve"> (ohne Vieh- und Quotenaufstockung, einschl. Technik)</t>
  </si>
  <si>
    <t xml:space="preserve"> Art</t>
  </si>
  <si>
    <t>Anteil</t>
  </si>
  <si>
    <t>Ertrag</t>
  </si>
  <si>
    <t>variable</t>
  </si>
  <si>
    <t>Pacht</t>
  </si>
  <si>
    <t>sonstige</t>
  </si>
  <si>
    <t>Flächen-</t>
  </si>
  <si>
    <t>Gesamtkosten abzgl. Prämien</t>
  </si>
  <si>
    <t>Kosten</t>
  </si>
  <si>
    <t>Fest-</t>
  </si>
  <si>
    <t>je ha</t>
  </si>
  <si>
    <t>je 10 MJ</t>
  </si>
  <si>
    <t>insg.</t>
  </si>
  <si>
    <t xml:space="preserve"> kosten</t>
  </si>
  <si>
    <t xml:space="preserve"> NEL</t>
  </si>
  <si>
    <t xml:space="preserve"> Grünland</t>
  </si>
  <si>
    <t xml:space="preserve"> Ackerfutter</t>
  </si>
  <si>
    <t xml:space="preserve"> Wie erfolgt die Quotenaufstockung?</t>
  </si>
  <si>
    <t>Preis</t>
  </si>
  <si>
    <t>Zinssatz</t>
  </si>
  <si>
    <t>Abschreibungs-</t>
  </si>
  <si>
    <t>Jahreskosten</t>
  </si>
  <si>
    <t>( i )</t>
  </si>
  <si>
    <t>dauer</t>
  </si>
  <si>
    <t xml:space="preserve"> Pacht von Quote</t>
  </si>
  <si>
    <t xml:space="preserve"> Kauf von Quote</t>
  </si>
  <si>
    <t xml:space="preserve"> Jahre</t>
  </si>
  <si>
    <t xml:space="preserve"> Auswirkungen auf Arbeitszeitaufwand und auf Einkommen anderer Betriebszweige</t>
  </si>
  <si>
    <t xml:space="preserve"> Lohnansatz</t>
  </si>
  <si>
    <t>Ausdehnung</t>
  </si>
  <si>
    <t>Einschränkung</t>
  </si>
  <si>
    <t>Gesamt-</t>
  </si>
  <si>
    <t>Rindviehhaltung</t>
  </si>
  <si>
    <t>anderer</t>
  </si>
  <si>
    <t>maßnahme</t>
  </si>
  <si>
    <t>und Futterbau</t>
  </si>
  <si>
    <t>Betriebszweige</t>
  </si>
  <si>
    <t xml:space="preserve"> Veränderung Arbeitszeitbedarf</t>
  </si>
  <si>
    <t xml:space="preserve"> - </t>
  </si>
  <si>
    <t xml:space="preserve"> AKh/Jahr.</t>
  </si>
  <si>
    <t xml:space="preserve"> Die DB-Einbußen aus Einschränkung anderer Betriebszweige betragen</t>
  </si>
  <si>
    <t xml:space="preserve"> Das Einkommen aus Landwirtschaft insgesamt soll/darf sich ändern um </t>
  </si>
  <si>
    <t xml:space="preserve"> Rasse</t>
  </si>
  <si>
    <t xml:space="preserve"> Milchpreis </t>
  </si>
  <si>
    <t xml:space="preserve"> kg/Kuh</t>
  </si>
  <si>
    <t xml:space="preserve"> Erlös Milch</t>
  </si>
  <si>
    <t xml:space="preserve"> Wert Kalb </t>
  </si>
  <si>
    <t xml:space="preserve"> Schlachtkuhanteil</t>
  </si>
  <si>
    <t xml:space="preserve"> Kälber/Kuh u. Jahr</t>
  </si>
  <si>
    <t xml:space="preserve"> Stück</t>
  </si>
  <si>
    <t xml:space="preserve"> Verfahrensabh. Ausgleichszahlung.</t>
  </si>
  <si>
    <t xml:space="preserve"> Erlös je Altkuh Fleckvieh</t>
  </si>
  <si>
    <t xml:space="preserve"> Düngerwert</t>
  </si>
  <si>
    <t xml:space="preserve"> Erlös je Altkuh Schwarzbunte</t>
  </si>
  <si>
    <t xml:space="preserve"> Summe Leistungen</t>
  </si>
  <si>
    <t xml:space="preserve"> Grundfutterleistung Kuh</t>
  </si>
  <si>
    <t xml:space="preserve"> kg Milch</t>
  </si>
  <si>
    <t xml:space="preserve"> Kosten Bestandsergänzung</t>
  </si>
  <si>
    <t xml:space="preserve"> Grundfutterbedarf Kuh</t>
  </si>
  <si>
    <t xml:space="preserve"> 10 MJ NEL</t>
  </si>
  <si>
    <t>für Erhaltung u. Versorgung</t>
  </si>
  <si>
    <t>Leistungsbedarf je kg</t>
  </si>
  <si>
    <t xml:space="preserve"> Kosten Kraftfutter        </t>
  </si>
  <si>
    <t xml:space="preserve"> Färsenpreis </t>
  </si>
  <si>
    <t>MJ</t>
  </si>
  <si>
    <t>Verluste (%)</t>
  </si>
  <si>
    <t>ges.</t>
  </si>
  <si>
    <t xml:space="preserve"> Tierarzt</t>
  </si>
  <si>
    <t xml:space="preserve"> Kraftfutterpreis</t>
  </si>
  <si>
    <t xml:space="preserve"> Verluste, Versicherungen</t>
  </si>
  <si>
    <t xml:space="preserve"> Deckungsbeitrag Jungvieh</t>
  </si>
  <si>
    <t xml:space="preserve"> Deckgeld, MLP</t>
  </si>
  <si>
    <t xml:space="preserve"> Grundfutterbedarf Jungvieh</t>
  </si>
  <si>
    <t xml:space="preserve"> Energie, Wasser</t>
  </si>
  <si>
    <t xml:space="preserve"> variable Maschinenkosten</t>
  </si>
  <si>
    <t xml:space="preserve"> Sonstige variable Kosten </t>
  </si>
  <si>
    <t xml:space="preserve"> Zinsansatz</t>
  </si>
  <si>
    <t xml:space="preserve"> Summe variable Kosten</t>
  </si>
  <si>
    <t xml:space="preserve"> Berechnung des zusätzlichen DB aus einer </t>
  </si>
  <si>
    <t>je Kuh</t>
  </si>
  <si>
    <t>je kg zusätzliche</t>
  </si>
  <si>
    <t xml:space="preserve"> Leistungssteigerung um 1.000 kg/Kuh</t>
  </si>
  <si>
    <t>Milch</t>
  </si>
  <si>
    <t xml:space="preserve"> Zusätzliche Leistung</t>
  </si>
  <si>
    <t xml:space="preserve"> Zusätzliche Kosten</t>
  </si>
  <si>
    <t xml:space="preserve"> Erhöhung Kraftfutteraufwand um</t>
  </si>
  <si>
    <t xml:space="preserve"> kg/kg Milch</t>
  </si>
  <si>
    <t xml:space="preserve"> Verkürzung der Nutzungsdauer/Kuh um</t>
  </si>
  <si>
    <t xml:space="preserve"> Monate</t>
  </si>
  <si>
    <t>FV</t>
  </si>
  <si>
    <t>SB</t>
  </si>
  <si>
    <t xml:space="preserve"> und Erhöhung der Kosten/Färse um</t>
  </si>
  <si>
    <t xml:space="preserve"> Summe Kosten der Leistungssteigerung </t>
  </si>
  <si>
    <t xml:space="preserve"> Deckungsbeitrag aus Leistungssteigerung</t>
  </si>
  <si>
    <t xml:space="preserve"> Jahreskosten zusätzliche Quote</t>
  </si>
  <si>
    <t xml:space="preserve">Plan: </t>
  </si>
  <si>
    <t>Tilgung</t>
  </si>
  <si>
    <t>Zinsen</t>
  </si>
  <si>
    <t>Kapitaldienst</t>
  </si>
  <si>
    <t xml:space="preserve"> Summe Kapitaldienst</t>
  </si>
  <si>
    <t xml:space="preserve"> Summe der Jahreskosten</t>
  </si>
  <si>
    <t>tatsächliche</t>
  </si>
  <si>
    <t>Aufstockung</t>
  </si>
  <si>
    <t>kg benötigte</t>
  </si>
  <si>
    <t>Milchleistung</t>
  </si>
  <si>
    <t>kg je Kuh</t>
  </si>
  <si>
    <t>Milchquote</t>
  </si>
  <si>
    <t xml:space="preserve"> Davon sind noch abzudecken :</t>
  </si>
  <si>
    <t xml:space="preserve"> Der Deckungsbeitrag je Stück Jungvieh im Bestand beträgt</t>
  </si>
  <si>
    <t>Jungvieh</t>
  </si>
  <si>
    <t xml:space="preserve"> bzw.</t>
  </si>
  <si>
    <t xml:space="preserve"> % der Maßnahmenkosten abgedeckt werden.</t>
  </si>
  <si>
    <t xml:space="preserve"> die Milchleistung je Kuh im ZIEL ändern um</t>
  </si>
  <si>
    <t xml:space="preserve">Mehrarbeit / Jahr </t>
  </si>
  <si>
    <t>AKh</t>
  </si>
  <si>
    <t xml:space="preserve"> um</t>
  </si>
  <si>
    <t>Unternehmen:</t>
  </si>
  <si>
    <t xml:space="preserve"> Vergleichskriterium</t>
  </si>
  <si>
    <t>Ein-</t>
  </si>
  <si>
    <t>P L A N</t>
  </si>
  <si>
    <t>heit</t>
  </si>
  <si>
    <t xml:space="preserve"> Kühe ZIEL</t>
  </si>
  <si>
    <t>Stück</t>
  </si>
  <si>
    <t xml:space="preserve"> Jungvieh ZIEL</t>
  </si>
  <si>
    <t xml:space="preserve"> Pachtpreis Quote</t>
  </si>
  <si>
    <t xml:space="preserve"> Kaufpreis Quote</t>
  </si>
  <si>
    <t xml:space="preserve"> Erwartete DB-Einbuße wegen </t>
  </si>
  <si>
    <t xml:space="preserve"> Einschränkung anderer Betriebszweige</t>
  </si>
  <si>
    <t xml:space="preserve"> Angestrebte Einkommensänderung </t>
  </si>
  <si>
    <t xml:space="preserve"> aus Landwirtschaft</t>
  </si>
  <si>
    <t xml:space="preserve"> Zuschüsse</t>
  </si>
  <si>
    <t xml:space="preserve"> Jahreskosten der zusätzlichen Quote</t>
  </si>
  <si>
    <t xml:space="preserve"> je Kuh zur Abdeckung der</t>
  </si>
  <si>
    <t xml:space="preserve">     Maßnahmenkosten</t>
  </si>
  <si>
    <t xml:space="preserve">     Maßnahmenkosten einschl. Mehr-/Minderarbeit</t>
  </si>
  <si>
    <t xml:space="preserve">     Einkommensveränderung aus Landwirtschaft</t>
  </si>
  <si>
    <t xml:space="preserve">[ € ] </t>
  </si>
  <si>
    <t xml:space="preserve"> €/kg</t>
  </si>
  <si>
    <t xml:space="preserve"> €/AKh</t>
  </si>
  <si>
    <t xml:space="preserve"> €/Jahr.</t>
  </si>
  <si>
    <t xml:space="preserve"> €/Kuh</t>
  </si>
  <si>
    <t xml:space="preserve"> €/Kalb</t>
  </si>
  <si>
    <t xml:space="preserve"> €/Stück</t>
  </si>
  <si>
    <t xml:space="preserve"> €/dt</t>
  </si>
  <si>
    <t xml:space="preserve"> €/Färse</t>
  </si>
  <si>
    <t>€</t>
  </si>
  <si>
    <t>€/kg</t>
  </si>
  <si>
    <t>€/Jahr</t>
  </si>
  <si>
    <t xml:space="preserve"> ct/kg</t>
  </si>
  <si>
    <t>%</t>
  </si>
  <si>
    <t xml:space="preserve"> Bemerkungen</t>
  </si>
  <si>
    <t xml:space="preserve"> Kapitaldienst</t>
  </si>
  <si>
    <t>Betrag</t>
  </si>
  <si>
    <t xml:space="preserve"> Durchschnittliche Jahreskosten</t>
  </si>
  <si>
    <t xml:space="preserve"> Abschreibungen </t>
  </si>
  <si>
    <t xml:space="preserve"> Anzahl Jungvieh im IST (&gt;6 Mon)</t>
  </si>
  <si>
    <t>10 MJ NEL</t>
  </si>
  <si>
    <t>€/ha</t>
  </si>
  <si>
    <t>€/10 MJ NEL</t>
  </si>
  <si>
    <t xml:space="preserve"> kg </t>
  </si>
  <si>
    <t xml:space="preserve">Stück </t>
  </si>
  <si>
    <r>
      <t xml:space="preserve"> </t>
    </r>
    <r>
      <rPr>
        <sz val="9"/>
        <color indexed="8"/>
        <rFont val="Arial"/>
        <family val="2"/>
      </rPr>
      <t>%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x 0,65</t>
    </r>
  </si>
  <si>
    <t xml:space="preserve"> Wert Kalb (nüchtern) Fleckvieh </t>
  </si>
  <si>
    <t xml:space="preserve"> Wert Kalb (nüchtern) Schwarzbunte </t>
  </si>
  <si>
    <t xml:space="preserve"> Anstieg sonstige variable Kosten (Tierarzt, Energie, usw.)</t>
  </si>
  <si>
    <t xml:space="preserve"> Deckungsbeitrag aus Leistungssteigerung n. Quotenkosten</t>
  </si>
  <si>
    <r>
      <t xml:space="preserve"> Berechnung des Deckungsbeitrages je Kuh und je kg Milch</t>
    </r>
    <r>
      <rPr>
        <sz val="11"/>
        <color indexed="12"/>
        <rFont val="Arial"/>
        <family val="2"/>
      </rPr>
      <t xml:space="preserve"> (derzeitige Produktionstechnik)</t>
    </r>
  </si>
  <si>
    <t xml:space="preserve"> Nutzungsdauer </t>
  </si>
  <si>
    <t xml:space="preserve"> Tatsächliche Milchleistung Ist</t>
  </si>
  <si>
    <t xml:space="preserve"> Die Jahreskosten der Baumaßnahme betragen </t>
  </si>
  <si>
    <t xml:space="preserve"> DB-Einbußen aus Einschränkung anderer Betriebszweige) betragen</t>
  </si>
  <si>
    <t>Zwischensumme</t>
  </si>
  <si>
    <r>
      <t xml:space="preserve"> Es verbleiben zur Abdeckung der Maßnahmenkosten </t>
    </r>
    <r>
      <rPr>
        <b/>
        <sz val="11"/>
        <color indexed="8"/>
        <rFont val="Arial"/>
        <family val="2"/>
      </rPr>
      <t>je zusätzliche Kuh</t>
    </r>
    <r>
      <rPr>
        <sz val="11"/>
        <color indexed="8"/>
        <rFont val="Arial"/>
        <family val="2"/>
      </rPr>
      <t xml:space="preserve"> </t>
    </r>
  </si>
  <si>
    <r>
      <t>die</t>
    </r>
    <r>
      <rPr>
        <b/>
        <sz val="11"/>
        <rFont val="Arial"/>
        <family val="2"/>
      </rPr>
      <t xml:space="preserve"> Grundfutterkosten</t>
    </r>
    <r>
      <rPr>
        <sz val="11"/>
        <rFont val="Arial"/>
        <family val="2"/>
      </rPr>
      <t xml:space="preserve"> / Kuh</t>
    </r>
  </si>
  <si>
    <r>
      <t>die</t>
    </r>
    <r>
      <rPr>
        <b/>
        <sz val="11"/>
        <rFont val="Arial"/>
        <family val="2"/>
      </rPr>
      <t xml:space="preserve"> Kosten der Quote </t>
    </r>
    <r>
      <rPr>
        <sz val="11"/>
        <rFont val="Arial"/>
        <family val="2"/>
      </rPr>
      <t>/ Kuh</t>
    </r>
  </si>
  <si>
    <r>
      <t xml:space="preserve"> Die </t>
    </r>
    <r>
      <rPr>
        <b/>
        <sz val="11"/>
        <rFont val="Arial"/>
        <family val="2"/>
      </rPr>
      <t>Maßnahmenkosten</t>
    </r>
    <r>
      <rPr>
        <sz val="11"/>
        <rFont val="Arial"/>
        <family val="2"/>
      </rPr>
      <t xml:space="preserve"> (= Jahreskosten der Baumaßnahme und </t>
    </r>
  </si>
  <si>
    <r>
      <t xml:space="preserve"> An </t>
    </r>
    <r>
      <rPr>
        <b/>
        <sz val="11"/>
        <color indexed="8"/>
        <rFont val="Arial"/>
        <family val="2"/>
      </rPr>
      <t>zusätzlicher Quote</t>
    </r>
    <r>
      <rPr>
        <sz val="11"/>
        <color indexed="8"/>
        <rFont val="Arial"/>
        <family val="2"/>
      </rPr>
      <t xml:space="preserve"> werden benötigt (bei unveränderter Milchleistung / Kuh)</t>
    </r>
  </si>
  <si>
    <r>
      <t xml:space="preserve"> Noch abzudecken sind die </t>
    </r>
    <r>
      <rPr>
        <b/>
        <sz val="11"/>
        <color indexed="8"/>
        <rFont val="Arial"/>
        <family val="2"/>
      </rPr>
      <t>Grundfutterkosten</t>
    </r>
    <r>
      <rPr>
        <sz val="11"/>
        <color indexed="8"/>
        <rFont val="Arial"/>
        <family val="2"/>
      </rPr>
      <t xml:space="preserve"> / Jungvieh</t>
    </r>
  </si>
  <si>
    <r>
      <t xml:space="preserve"> Es verbleiben zur Abdeckung der Maßnahmenkosten </t>
    </r>
    <r>
      <rPr>
        <b/>
        <sz val="11"/>
        <color indexed="8"/>
        <rFont val="Arial"/>
        <family val="2"/>
      </rPr>
      <t xml:space="preserve">je zusätzl. Stück Jungvieh </t>
    </r>
  </si>
  <si>
    <r>
      <t xml:space="preserve"> Aus einer </t>
    </r>
    <r>
      <rPr>
        <b/>
        <sz val="11"/>
        <color indexed="8"/>
        <rFont val="Arial"/>
        <family val="2"/>
      </rPr>
      <t>Steigerung der Milchleistung</t>
    </r>
    <r>
      <rPr>
        <sz val="11"/>
        <color indexed="8"/>
        <rFont val="Arial"/>
        <family val="2"/>
      </rPr>
      <t xml:space="preserve"> je Kuh können je kg Milch</t>
    </r>
  </si>
  <si>
    <r>
      <t xml:space="preserve"> zur Abdeckung der </t>
    </r>
    <r>
      <rPr>
        <b/>
        <sz val="11"/>
        <rFont val="Arial"/>
        <family val="2"/>
      </rPr>
      <t>Maßnahmenkosten</t>
    </r>
    <r>
      <rPr>
        <sz val="11"/>
        <rFont val="Arial"/>
        <family val="2"/>
      </rPr>
      <t xml:space="preserve"> verwendet werden.</t>
    </r>
  </si>
  <si>
    <r>
      <t xml:space="preserve"> Um die</t>
    </r>
    <r>
      <rPr>
        <b/>
        <sz val="11"/>
        <color indexed="8"/>
        <rFont val="Arial"/>
        <family val="2"/>
      </rPr>
      <t xml:space="preserve"> restlichen Maßnahmenkosten </t>
    </r>
    <r>
      <rPr>
        <sz val="11"/>
        <color indexed="8"/>
        <rFont val="Arial"/>
        <family val="2"/>
      </rPr>
      <t xml:space="preserve">abzudecken, muß/darf sich </t>
    </r>
  </si>
  <si>
    <r>
      <t xml:space="preserve"> Wird auch der </t>
    </r>
    <r>
      <rPr>
        <b/>
        <sz val="11"/>
        <color indexed="8"/>
        <rFont val="Arial"/>
        <family val="2"/>
      </rPr>
      <t>veränderte Arbeitszeitbedarf</t>
    </r>
    <r>
      <rPr>
        <sz val="11"/>
        <color indexed="8"/>
        <rFont val="Arial"/>
        <family val="2"/>
      </rPr>
      <t xml:space="preserve"> bewertet, muß/darf sich </t>
    </r>
  </si>
  <si>
    <r>
      <t xml:space="preserve"> Bei einer Veränderung des </t>
    </r>
    <r>
      <rPr>
        <b/>
        <sz val="11"/>
        <color indexed="8"/>
        <rFont val="Arial"/>
        <family val="2"/>
      </rPr>
      <t>Einkommens aus Landwirtschaft</t>
    </r>
  </si>
  <si>
    <t>muß/darf sich die Milchleistung je Kuh im ZIEL ändern um</t>
  </si>
  <si>
    <t xml:space="preserve"> Anfänglicher Kapitaldienst</t>
  </si>
  <si>
    <t xml:space="preserve"> Durchschnittliche Jahreskosten der Investition</t>
  </si>
  <si>
    <t>Plan:</t>
  </si>
  <si>
    <t xml:space="preserve"> Zieljahr:</t>
  </si>
  <si>
    <t>Alle Preise inklusive Mehrwertsteuer!</t>
  </si>
  <si>
    <r>
      <t xml:space="preserve"> Deckungsbeitrag A </t>
    </r>
    <r>
      <rPr>
        <b/>
        <sz val="8"/>
        <rFont val="Arial"/>
        <family val="2"/>
      </rPr>
      <t>(ohne Zinsansatz)</t>
    </r>
  </si>
  <si>
    <r>
      <t xml:space="preserve"> Deckungsbeitrag B </t>
    </r>
    <r>
      <rPr>
        <b/>
        <sz val="8"/>
        <rFont val="Arial"/>
        <family val="2"/>
      </rPr>
      <t>(mit Zinsansatz)</t>
    </r>
  </si>
  <si>
    <t>Laufzeit</t>
  </si>
  <si>
    <t>ct/kg</t>
  </si>
  <si>
    <r>
      <t xml:space="preserve">Für einen Planvergleich ist eine Plannummer zwischen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und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einzugeben.</t>
    </r>
  </si>
  <si>
    <r>
      <t>Hier interessiert nur das für die Tieraufstockung</t>
    </r>
    <r>
      <rPr>
        <b/>
        <sz val="11"/>
        <rFont val="Arial"/>
        <family val="2"/>
      </rPr>
      <t xml:space="preserve"> zusätzlich</t>
    </r>
    <r>
      <rPr>
        <sz val="11"/>
        <rFont val="Arial"/>
        <family val="2"/>
      </rPr>
      <t xml:space="preserve"> benötigte Grundfutter.</t>
    </r>
  </si>
  <si>
    <t>BAUKUH ist eine Tabellenkalkulationsanwendung unter EXCEL 2000 zur Beratung von landwirtschaft-</t>
  </si>
  <si>
    <t xml:space="preserve">lichen Unternehmerfamilien, die im Milchviehbereich investieren wollen. </t>
  </si>
  <si>
    <t>Problemstellung</t>
  </si>
  <si>
    <t xml:space="preserve">Eine exakte Beurteilung der Wirtschaftlichkeit von Baumaßnahmen in der Milchviehhaltung erfordert umfangreiche </t>
  </si>
  <si>
    <t xml:space="preserve">Landwirten und Beratern insbesondere aufzeigen, welchen Einfluß die Milchleistung, die Baukosten sowie die </t>
  </si>
  <si>
    <t xml:space="preserve">unterstellten Quotenpreise auf die Wirtschaftlichkeit haben. </t>
  </si>
  <si>
    <t>ausgewiesen wird, die eine volle Kostendeckung der Baumaßnahme gewährleistet.</t>
  </si>
  <si>
    <t>Programmaufbau</t>
  </si>
  <si>
    <t xml:space="preserve">Futterbau. Kosten in diesem Betriebszweig - einschließlich der Kosten einer baulichen Maßnahme - müssen </t>
  </si>
  <si>
    <t>also auch durch Leistungen aus diesem Betriebszweig abgedeckt werden.</t>
  </si>
  <si>
    <t>Dieser Rechenansatz erlaubt es, die übrigen Betriebszweige sowie die vorhandenen Festkosten außer Acht</t>
  </si>
  <si>
    <t>zu lassen. Damit lassen die Rechenergebnisse von BAUKUH auch keine Rückschlüsse auf die Finanzierbar-</t>
  </si>
  <si>
    <t>Die Finanzierbarkeit kann später im Rahmen eines Investitionskonzeptes geprüft werden.  Bei der gesamt-</t>
  </si>
  <si>
    <t>betrieblichen Betrachtungsweise des  Investitionskonzeptes können jedoch vorhandene umfangreiche Eigen-</t>
  </si>
  <si>
    <t xml:space="preserve">mittel oder rentable andere Betriebszweige dazu führen, dass eine an sich unwirtschaftliche Aufstockung der </t>
  </si>
  <si>
    <t>Milchviehhaltung dennoch finanzierbar ist.</t>
  </si>
  <si>
    <t>Hinweise</t>
  </si>
  <si>
    <t>Ergebnis</t>
  </si>
  <si>
    <t>daten</t>
  </si>
  <si>
    <t>Betriebs-</t>
  </si>
  <si>
    <t>DB-</t>
  </si>
  <si>
    <t>Milchvieh</t>
  </si>
  <si>
    <t xml:space="preserve">ierung </t>
  </si>
  <si>
    <t>Finanz-</t>
  </si>
  <si>
    <t>Eingabe</t>
  </si>
  <si>
    <t>Ausgabe</t>
  </si>
  <si>
    <t xml:space="preserve"> BAUKUH besteht insgesamt aus 7 Arbeitsblättern:</t>
  </si>
  <si>
    <t>Druckeinstellungen</t>
  </si>
  <si>
    <t xml:space="preserve">Eine optimale Druckeinstellung für alle Drucker gibt es nicht. Im Einzelfall sind im Menü [Datei] im </t>
  </si>
  <si>
    <t xml:space="preserve">Es ist entweder die errechnete Milchleistung zu übernehmen oder eine andere (in der Regel höhere) </t>
  </si>
  <si>
    <t>Leistung einzugeben (z.B. wegen ab-Hof-Verkauf, Verfütterung oder bisheriger Überlieferung).</t>
  </si>
  <si>
    <t xml:space="preserve">Die Einschränkung anderer Betriebszweige (z.B. Zuchtsauenhaltung) kann notwendig werden, wenn ein </t>
  </si>
  <si>
    <t>Umbau von Gebäuden bzw. aus arbeitswirtschaftlichen Gründen eine Spezialisierung erfolgt.</t>
  </si>
  <si>
    <t xml:space="preserve">werden. Bei Rationalisierungsmaßnahmen ist auch die Eingabe einer tolerierbaren landwirtschaftlichen </t>
  </si>
  <si>
    <t>Einkommenseinbuße denkbar.</t>
  </si>
  <si>
    <t>Der Deckungsbeitrag ist abhängig von der Rasse. Die Rasse wird im Arbeitsblatt [Betriebsdaten] aus-</t>
  </si>
  <si>
    <t>gewählt.</t>
  </si>
  <si>
    <t>intern ermittelt.</t>
  </si>
  <si>
    <t>schrieben werden.</t>
  </si>
  <si>
    <t>Die vorgeschlagenen preislichen und produktionstechnischen Annahmen können betriebsindividuell über-</t>
  </si>
  <si>
    <t xml:space="preserve">Im Gegensatz zum Deckungsbeitrag A wird im Deckungsbeitrag B auch der Zinsansatz für das Vieh- und </t>
  </si>
  <si>
    <t>Umlaufvermögen berücksichtigt.</t>
  </si>
  <si>
    <t xml:space="preserve">In vielen Fällen wird sich eine Rentabilität der Gesamtmaßnahme nur durch eine Leistungssteigerung </t>
  </si>
  <si>
    <t xml:space="preserve">erreichen lassen. </t>
  </si>
  <si>
    <t>1.000 kg je Kuh; hieraus wird dann der zusätzliche DB je kg Milch ermittelt.</t>
  </si>
  <si>
    <t xml:space="preserve">Eine entscheidende Rolle spielt die Erhöhung des Kraftfutteraufwandes, die bei einer einhergehenden </t>
  </si>
  <si>
    <t>Verbesserung der Grundfutterleistung unter 0,5 kg/kg Milch liegen kann.</t>
  </si>
  <si>
    <t xml:space="preserve">Eine Erhöhung der Kosten je Färse ist - bei eigener Bestandsergänzung - in der Regel nicht zu erwarten </t>
  </si>
  <si>
    <t>(u.U. höhere Samenkosten).</t>
  </si>
  <si>
    <t>(bei 2.100 AKh je AK).</t>
  </si>
  <si>
    <t>sowie der geltenden Förderrichtlinien.</t>
  </si>
  <si>
    <t xml:space="preserve">Bei der Festlegung des durchschnittlichen Abschreibungssatzes (in %) ist die kürzere Nutzungsdauer von </t>
  </si>
  <si>
    <t>Maschinen (z.B. Melktechnik) bzw. Stalleinrichtungen im Vergleich zur Gebäudehülle zu berücksichtigen.</t>
  </si>
  <si>
    <t xml:space="preserve">Für die Berechnung des Zinsansatzes wird nicht mit dem üblichen Wert von 0,5 x Zinssatz gerechnet. Der </t>
  </si>
  <si>
    <t>Schwarzbunte, Sonstige</t>
  </si>
  <si>
    <t>Datenerhebungen und Berechnungen für den jeweiligen Einzelbetrieb. Für eine erste, grobe Beurteilung der</t>
  </si>
  <si>
    <t xml:space="preserve">Erfolgsaussichten der geplanten Maßnahme ist jedoch ein schnelles Kalkulationsverfahren gefordert. Es soll </t>
  </si>
  <si>
    <t>Untermenü [Seite einrichten] in den Registern [Seite], [Ränder] und [Tabelle] die Einstellungen zu korrigieren.</t>
  </si>
  <si>
    <r>
      <t>Die Nummer des Planes ist im Arbeitsblatt [</t>
    </r>
    <r>
      <rPr>
        <b/>
        <sz val="11"/>
        <rFont val="Arial"/>
        <family val="2"/>
      </rPr>
      <t>Betriebsdaten</t>
    </r>
    <r>
      <rPr>
        <sz val="11"/>
        <rFont val="Arial"/>
        <family val="2"/>
      </rPr>
      <t>] einzugeben.</t>
    </r>
  </si>
  <si>
    <r>
      <t xml:space="preserve">Bei </t>
    </r>
    <r>
      <rPr>
        <b/>
        <sz val="11"/>
        <rFont val="Arial"/>
        <family val="2"/>
      </rPr>
      <t>Kauf</t>
    </r>
    <r>
      <rPr>
        <sz val="11"/>
        <rFont val="Arial"/>
        <family val="2"/>
      </rPr>
      <t xml:space="preserve"> von Quote wird der Kaufpreis abgeschrieben und verzinst (Faktor 0,65 s. Blatt [Finanzierung]). </t>
    </r>
  </si>
  <si>
    <r>
      <t>Siehe Arbeitsblatt [</t>
    </r>
    <r>
      <rPr>
        <b/>
        <sz val="11"/>
        <rFont val="Arial"/>
        <family val="2"/>
      </rPr>
      <t>Betriebsdaten</t>
    </r>
    <r>
      <rPr>
        <sz val="11"/>
        <rFont val="Arial"/>
        <family val="2"/>
      </rPr>
      <t>] und [</t>
    </r>
    <r>
      <rPr>
        <b/>
        <sz val="11"/>
        <rFont val="Arial"/>
        <family val="2"/>
      </rPr>
      <t>DB-Milchvieh</t>
    </r>
    <r>
      <rPr>
        <sz val="11"/>
        <rFont val="Arial"/>
        <family val="2"/>
      </rPr>
      <t>].</t>
    </r>
  </si>
  <si>
    <t xml:space="preserve"> VII.</t>
  </si>
  <si>
    <t>Maßnahmenkosten</t>
  </si>
  <si>
    <t>Beitrag aus Bestandsaufstockung von Milch- und Jungvieh</t>
  </si>
  <si>
    <t>Betrag aus Steigerung der Milchleistung</t>
  </si>
  <si>
    <t>Zahl der Kühe im ZIEL</t>
  </si>
  <si>
    <t>veränderter Arbeitszeitbedarf pro Jahr x Entlohnung je Stunde</t>
  </si>
  <si>
    <t>angestrebte Erhöhung des Einkommens aus Landwirtschaft</t>
  </si>
  <si>
    <t xml:space="preserve"> Es ergibt sich eine jährliche Über-/ Unterdeckung der Kosten</t>
  </si>
  <si>
    <t xml:space="preserve">  - bei unveränderter Milchleistung - von </t>
  </si>
  <si>
    <t xml:space="preserve"> Investitionsbedarf der Maßnahme</t>
  </si>
  <si>
    <t xml:space="preserve">Kühe im IST: </t>
  </si>
  <si>
    <t>Milchleistung im IST:</t>
  </si>
  <si>
    <t xml:space="preserve"> Über-/Unterdeckung der Kosten bei konstanter </t>
  </si>
  <si>
    <t xml:space="preserve"> Milchleistung</t>
  </si>
  <si>
    <t>Investitions-bedarf</t>
  </si>
  <si>
    <t xml:space="preserve">Bei der Berechnung des DB sind die Annahmen zu Grunde zu legen, wie sie für den Durchschnitt des </t>
  </si>
  <si>
    <t xml:space="preserve">Planungszeitraumes erwartet werden. Dies bedeutet, dass bei langfristigen Planungen die durch die </t>
  </si>
  <si>
    <t xml:space="preserve">Kosten der Baumaßnahme </t>
  </si>
  <si>
    <t>Die Höhe des Zinsansatzes hängt ab von der Höhe des Zinssatzes für Darlehen und Eigenmittel.</t>
  </si>
  <si>
    <t>Die Unterhaltskosten werden von der Summe der baren Ausgaben abgeleitet.</t>
  </si>
  <si>
    <t xml:space="preserve">hier verwendete Wert von 0,65 berücksichtigt die zeitliche Verteilung der Zinsen genauer. Die hohen </t>
  </si>
  <si>
    <t xml:space="preserve">Zinsen am Anfang der Nutzungsdauer sind im Sinne einer dynamischen Investitionsrechnung stärker zu </t>
  </si>
  <si>
    <t>Notwendige Leistungssteigerung Betrieb</t>
  </si>
  <si>
    <t>Milchleistungsveränderung zur Abdeckung der Maßnahmenkosten u. d. angestrebten Erhöhung d. Einkommens aus LW je Kuh</t>
  </si>
  <si>
    <r>
      <t>vorhandene</t>
    </r>
    <r>
      <rPr>
        <sz val="11"/>
        <rFont val="Arial"/>
        <family val="2"/>
      </rPr>
      <t xml:space="preserve"> Referenzmenge in BAUKUH daher außer Acht gelassen. Für die </t>
    </r>
    <r>
      <rPr>
        <b/>
        <sz val="11"/>
        <rFont val="Arial"/>
        <family val="2"/>
      </rPr>
      <t>zusätzliche</t>
    </r>
    <r>
      <rPr>
        <sz val="11"/>
        <rFont val="Arial"/>
        <family val="2"/>
      </rPr>
      <t xml:space="preserve"> Referenz-</t>
    </r>
  </si>
  <si>
    <t>Notwendige Leistungssteigerung zur Abdeckung der restlichen Maßnahmenkosten je Kuh</t>
  </si>
  <si>
    <t xml:space="preserve"> Zinsansatz für bare Eigenmittel</t>
  </si>
  <si>
    <t>Seine Höhe hängt davon ab, ob für Wirtschaftsdünger oder für Futterlager eine separate Förderung erfolgt.</t>
  </si>
  <si>
    <r>
      <t xml:space="preserve"> Was kostet das </t>
    </r>
    <r>
      <rPr>
        <b/>
        <u val="single"/>
        <sz val="11"/>
        <color indexed="12"/>
        <rFont val="Arial"/>
        <family val="2"/>
      </rPr>
      <t>zusätzlich</t>
    </r>
    <r>
      <rPr>
        <b/>
        <sz val="11"/>
        <color indexed="12"/>
        <rFont val="Arial"/>
        <family val="2"/>
      </rPr>
      <t xml:space="preserve"> benötigte Grundfutter?</t>
    </r>
  </si>
  <si>
    <t xml:space="preserve"> Summe der Jahreskosten in % der baren Ausgaben</t>
  </si>
  <si>
    <r>
      <t xml:space="preserve"> </t>
    </r>
    <r>
      <rPr>
        <b/>
        <sz val="11"/>
        <color indexed="8"/>
        <rFont val="Arial"/>
        <family val="2"/>
      </rPr>
      <t>Notwendige Veränderung der Milchleistung</t>
    </r>
  </si>
  <si>
    <t xml:space="preserve">     Maßnahmenkosten einschließlich angestrebte</t>
  </si>
  <si>
    <t xml:space="preserve"> Zusätzlich benötigte Quote bei konstanter </t>
  </si>
  <si>
    <t>gewichten (ähnliche Ergebnisse liefert auch eine Finanzierung über ein Annuitätendarlehen).</t>
  </si>
  <si>
    <t>dargestellt werden.</t>
  </si>
  <si>
    <t>Dazu muss im Blatt [Ergebnis] das Feld "Daten in Vergleich übertragen" gedrückt werden.</t>
  </si>
  <si>
    <t xml:space="preserve"> gekoppelte Prämie</t>
  </si>
  <si>
    <t>Milchleistungsveränderung zur Abdeckung der Maßnahmenkosten und des veränderten Arbeitszeitbedarfes je Kuh</t>
  </si>
  <si>
    <t>Herausgeber:</t>
  </si>
  <si>
    <t>Die Veränderung dieser Datei und die Weitergabe veränderter Kopien ist ausdrücklich untersagt.</t>
  </si>
  <si>
    <r>
      <t xml:space="preserve">Die Weitergabe </t>
    </r>
    <r>
      <rPr>
        <b/>
        <i/>
        <u val="single"/>
        <sz val="10"/>
        <rFont val="Garamond"/>
        <family val="1"/>
      </rPr>
      <t>unveränderter</t>
    </r>
    <r>
      <rPr>
        <b/>
        <sz val="10"/>
        <rFont val="Garamond"/>
        <family val="1"/>
      </rPr>
      <t xml:space="preserve"> Kopien ist zulässig.</t>
    </r>
  </si>
  <si>
    <t>© LEL Schwäbisch Gmünd</t>
  </si>
  <si>
    <t>Landesanstalt für Entwicklung der Landwirtschaft und der ländlichen Räume (LEL)
Oberbettringer Straße 162; 73525 Schwäbisch Gmünd</t>
  </si>
  <si>
    <t>Ergebnisvergleich</t>
  </si>
  <si>
    <t>Deckungsbeitrag Milchkuh</t>
  </si>
  <si>
    <t>Investitionsbedarf</t>
  </si>
  <si>
    <t>Prämien</t>
  </si>
  <si>
    <t xml:space="preserve">Dunkelgelbe Eingabefelder sind mit einer überschreibbaren Formel oder einer Liste hinterlegt, aus der die </t>
  </si>
  <si>
    <t>gewünschten Werte bzw. Texte ausgewählt werden müssen.</t>
  </si>
  <si>
    <t>Die Kosten beinhalten neben den variablen Kosten auch anteilige Festkosten für Maschinen, Pacht (für</t>
  </si>
  <si>
    <t xml:space="preserve">Fläche und Zahlungsanspruch) und Berufsgenossenschaft, aber auch Leistungen aus Flächenprämien. </t>
  </si>
  <si>
    <t>Ackerland) und sonstigen Flächenprämien (z.B. MEKA, Ausgleichszulage) zusammen.</t>
  </si>
  <si>
    <t>Ertrags-
niveau</t>
  </si>
  <si>
    <t>GAP-Reform erwartete Preisabsenkung von ca. -5 ct/kg bei Milch zu Grunde gelegt werden sollte.</t>
  </si>
  <si>
    <t>Der Zinsansatz für das Vieh- und Umlaufvermögen wird im Deckungsbeitrag berücksichtigt.</t>
  </si>
  <si>
    <t>Zwischenbetrag</t>
  </si>
  <si>
    <r>
      <t xml:space="preserve">Mit dem Programm BAUKUH erfolgt dies in der Weise, dass die jeweils </t>
    </r>
    <r>
      <rPr>
        <b/>
        <sz val="11"/>
        <rFont val="Arial"/>
        <family val="2"/>
      </rPr>
      <t>notwendige Steigerung der Milchleistung</t>
    </r>
  </si>
  <si>
    <t>Bei Finanzierung mit Förderung ergeben sich hier i.d.R. Prozentsätze im Bereich zwischen 6 und 8 %.</t>
  </si>
  <si>
    <t>Die Abschreibung sollte sich an der erwarteten Geltungsdauer der Quotenregelung (bis 2015) orientieren.</t>
  </si>
  <si>
    <t xml:space="preserve"> Tierbestand und Milchleistung</t>
  </si>
  <si>
    <t xml:space="preserve"> Milchpreis ZIEL</t>
  </si>
  <si>
    <r>
      <t xml:space="preserve">Zins  </t>
    </r>
    <r>
      <rPr>
        <vertAlign val="superscript"/>
        <sz val="10"/>
        <rFont val="Arial Narrow"/>
        <family val="2"/>
      </rPr>
      <t>2)</t>
    </r>
  </si>
  <si>
    <t xml:space="preserve">Förderfähig sind die Kosten der Baumaßnahme für Milchkühe und Jungvieh einschließlich Melktechnik, jedoch  </t>
  </si>
  <si>
    <t xml:space="preserve">ohne Kosten für Quote, Vieh- und Umlaufvermögen oder zusätzliche Maschinen für die Außenwirtschaft. </t>
  </si>
  <si>
    <t>Bei Einhaltung besonders tiergerechter Auflagen beim Bau kann aktuell (KJ 2010) die Förderung</t>
  </si>
  <si>
    <t>artgerechte Bauweise ist zusätzlich zu kennzeichnen und wird nur für den eigentlichen Stallbau gewährt.</t>
  </si>
  <si>
    <t>Die AK-Einheiten im Ziel dient lediglich der Information und hat keine fördertechnischen Auswirkungen.</t>
  </si>
  <si>
    <t xml:space="preserve">Bei Milchviehställen werden die Fördermittel (Zuschüsse) in Baden-Württemberg derzeit begrenzt </t>
  </si>
  <si>
    <t>förderfähige Kosten geltend gemacht werden.</t>
  </si>
  <si>
    <t>Die Betreuungskosten werden abhängig von den förderfähigen Kosten mehrstufig als Festbetrag bezuschusst.</t>
  </si>
  <si>
    <t>Zuschüssen. Das zu erwartende Darlehen ist einzugeben.</t>
  </si>
  <si>
    <t>Aus-</t>
  </si>
  <si>
    <t>Nicht</t>
  </si>
  <si>
    <t>zuwen-</t>
  </si>
  <si>
    <t>Invest.mit besond
Anforderungen</t>
  </si>
  <si>
    <t>Vorsteuer %</t>
  </si>
  <si>
    <t>Investitionen mit besonderen Anforderungen:</t>
  </si>
  <si>
    <t>gaben</t>
  </si>
  <si>
    <t>förderb.</t>
  </si>
  <si>
    <t>dungsf.</t>
  </si>
  <si>
    <t xml:space="preserve">Geb/Maschinen  </t>
  </si>
  <si>
    <t>(Zuschussfähigkeit angekreuzt in Spalte M):</t>
  </si>
  <si>
    <t>Für Großrechner:</t>
  </si>
  <si>
    <t xml:space="preserve"> Sanie-</t>
  </si>
  <si>
    <t>gesamt</t>
  </si>
  <si>
    <t>Ausgab.</t>
  </si>
  <si>
    <t>Tierkauf/Dauerkulturen</t>
  </si>
  <si>
    <t>Bau</t>
  </si>
  <si>
    <t>davon</t>
  </si>
  <si>
    <t xml:space="preserve">Technik </t>
  </si>
  <si>
    <t>Code Haltungsformen</t>
  </si>
  <si>
    <t xml:space="preserve"> Maßnahme</t>
  </si>
  <si>
    <t>Ist</t>
  </si>
  <si>
    <t>Ziel</t>
  </si>
  <si>
    <t xml:space="preserve"> rung /</t>
  </si>
  <si>
    <t>brutto</t>
  </si>
  <si>
    <t>Vorst.</t>
  </si>
  <si>
    <t>netto</t>
  </si>
  <si>
    <t>(und innov.</t>
  </si>
  <si>
    <t>besonders</t>
  </si>
  <si>
    <t>(und Dauerkulturen)</t>
  </si>
  <si>
    <t xml:space="preserve"> Umbau</t>
  </si>
  <si>
    <t xml:space="preserve"> Neubau</t>
  </si>
  <si>
    <t>Euro</t>
  </si>
  <si>
    <t>Techniken)</t>
  </si>
  <si>
    <t>tiergerecht</t>
  </si>
  <si>
    <t>Kostenblock Landwirtschaft - Bauen</t>
  </si>
  <si>
    <t>GR-
Code Maßnahme</t>
  </si>
  <si>
    <t xml:space="preserve">Anzahl Plätze
</t>
  </si>
  <si>
    <t>"a"</t>
  </si>
  <si>
    <t>01 Grp./Teilspalten</t>
  </si>
  <si>
    <t xml:space="preserve"> 01 Milchkuhstall</t>
  </si>
  <si>
    <t>02 Grp./Vollspalten</t>
  </si>
  <si>
    <t xml:space="preserve"> 02 Jungviehstall</t>
  </si>
  <si>
    <t>04 Grp./Tiefstreu</t>
  </si>
  <si>
    <t xml:space="preserve"> 03 Mutterkühe,Rindermast</t>
  </si>
  <si>
    <t>10 Grp. planbef.Fl.</t>
  </si>
  <si>
    <t>09 Freilandhaltung</t>
  </si>
  <si>
    <t>Lagerräume:</t>
  </si>
  <si>
    <t>Ja</t>
  </si>
  <si>
    <t xml:space="preserve"> 12 Futtersilos</t>
  </si>
  <si>
    <t xml:space="preserve">Biogas-Futtersilos sind zu </t>
  </si>
  <si>
    <t>Nein</t>
  </si>
  <si>
    <t xml:space="preserve"> 13 Heu- / Einstreulager</t>
  </si>
  <si>
    <t>"sonst. baul. Anlagen" zu rechnen</t>
  </si>
  <si>
    <t xml:space="preserve"> 14 Wi-Dunglager </t>
  </si>
  <si>
    <t>flüss.</t>
  </si>
  <si>
    <t xml:space="preserve"> 15 Wi-Dunglager </t>
  </si>
  <si>
    <t>fest</t>
  </si>
  <si>
    <t>m²</t>
  </si>
  <si>
    <t xml:space="preserve"> 20 Bauliche Maßnahmen Energieeinspar.</t>
  </si>
  <si>
    <t xml:space="preserve"> 22 Erschließung</t>
  </si>
  <si>
    <t xml:space="preserve"> 24 Sonstige bauliche Anlagen</t>
  </si>
  <si>
    <t xml:space="preserve"> Summe Baukosten</t>
  </si>
  <si>
    <t>Kostenblock Landwirtschaft - Technik</t>
  </si>
  <si>
    <t xml:space="preserve"> 25 Maschinen, Anlagen zur Energieeinsparung</t>
  </si>
  <si>
    <t xml:space="preserve"> 26 Maschinen, Geräte, Vorrichtungen</t>
  </si>
  <si>
    <t>(Innenwirtschaft)</t>
  </si>
  <si>
    <t>Eigenant. Antragst. u. Betreuerzuschuss:</t>
  </si>
  <si>
    <t xml:space="preserve"> Summe Technikkosten</t>
  </si>
  <si>
    <t>Kostenblock Landwirtschaft - allgemeine Aufwendungen</t>
  </si>
  <si>
    <t>% Eigenanteil Antragsteller bei Betreuergebühr</t>
  </si>
  <si>
    <t xml:space="preserve"> 27 Baunebenkosten</t>
  </si>
  <si>
    <t xml:space="preserve"> 49 Betreuer</t>
  </si>
  <si>
    <t>Zuschuss:</t>
  </si>
  <si>
    <t>max. geförderte Bruttobetreuerkosten</t>
  </si>
  <si>
    <t xml:space="preserve"> 28 Patentrechte und Lizenzen</t>
  </si>
  <si>
    <t>Obergrenze:</t>
  </si>
  <si>
    <t xml:space="preserve"> Summe allg. Aufwendungen</t>
  </si>
  <si>
    <t>€ oder</t>
  </si>
  <si>
    <t>Summe Kosten Landwirtschaft</t>
  </si>
  <si>
    <t xml:space="preserve">% max. förderf. Kosten Bau/Technik 
</t>
  </si>
  <si>
    <t>Kostenblock nicht geförderte Ausgaben</t>
  </si>
  <si>
    <t xml:space="preserve">      Landkauf</t>
  </si>
  <si>
    <t xml:space="preserve">      Gebäudekauf</t>
  </si>
  <si>
    <t xml:space="preserve"> 51 Wohnhaus</t>
  </si>
  <si>
    <t xml:space="preserve">      Maschinen, Geräte der Außenwirtschaft</t>
  </si>
  <si>
    <t xml:space="preserve"> 52 Tieraufstockung</t>
  </si>
  <si>
    <t xml:space="preserve"> 53 Lieferrechte</t>
  </si>
  <si>
    <t>kg    x</t>
  </si>
  <si>
    <t xml:space="preserve">      Zahlungsanspr.</t>
  </si>
  <si>
    <t>ZA    x</t>
  </si>
  <si>
    <t xml:space="preserve"> 54 Umlaufvermögen</t>
  </si>
  <si>
    <t xml:space="preserve"> 55 Überbrückungsbedarf</t>
  </si>
  <si>
    <t xml:space="preserve"> 56 Ablösung von Verbindlichkeiten</t>
  </si>
  <si>
    <t xml:space="preserve"> 57 Finanzierungskosten</t>
  </si>
  <si>
    <t xml:space="preserve"> 58 Sonstiges</t>
  </si>
  <si>
    <t>Summe sonstige nicht förderbare Ausgaben</t>
  </si>
  <si>
    <t xml:space="preserve"> Summe Finanzbedarf Landwirtschaft bar</t>
  </si>
  <si>
    <t xml:space="preserve">             Tieraufstock.aus eig.Aufzucht</t>
  </si>
  <si>
    <t xml:space="preserve">             Arbeitsleistung für Gebäude incl. Erschließung</t>
  </si>
  <si>
    <t>Investitionskosten</t>
  </si>
  <si>
    <t xml:space="preserve">                             "                 Baunebenkosten</t>
  </si>
  <si>
    <t>bar und unbar</t>
  </si>
  <si>
    <t xml:space="preserve">             Eigene Baustoffe</t>
  </si>
  <si>
    <t>Summe unbare Eigenleistungen</t>
  </si>
  <si>
    <t>Finanzierungsplan</t>
  </si>
  <si>
    <t>Finanzie-</t>
  </si>
  <si>
    <t>rungsmittel</t>
  </si>
  <si>
    <t>Bürgschaftsregelung beansprucht?</t>
  </si>
  <si>
    <t xml:space="preserve"> Zu erwirtschaften / zur Finanz. verwendet</t>
  </si>
  <si>
    <t>Barmittel, Guthaben</t>
  </si>
  <si>
    <t>Für Gültigkeitsüberprüfung</t>
  </si>
  <si>
    <t>Verkauf Grundstücke</t>
  </si>
  <si>
    <t>Verkauf alte Hofstelle</t>
  </si>
  <si>
    <t>Sonstige Erlöse</t>
  </si>
  <si>
    <t>Erstattung Vorsteuer (Option z. Regelb.)</t>
  </si>
  <si>
    <t>Sonst. Zuwendungen</t>
  </si>
  <si>
    <t xml:space="preserve"> = maximal erstattbare Vorsteuer</t>
  </si>
  <si>
    <t>Summe bare Eigenmittel</t>
  </si>
  <si>
    <t>gefördertes</t>
  </si>
  <si>
    <t>Junglandw.</t>
  </si>
  <si>
    <t>Grenzen Subventionswert</t>
  </si>
  <si>
    <t>Liste f. Bürgschaftsfrage</t>
  </si>
  <si>
    <t>aufgrund Regelbesteuerung</t>
  </si>
  <si>
    <t xml:space="preserve">     Zuschuss (%)
  max             ist</t>
  </si>
  <si>
    <t>zuwendf. Betrag</t>
  </si>
  <si>
    <t>Zuschuss
(EURO)</t>
  </si>
  <si>
    <t>früher erhalten</t>
  </si>
  <si>
    <t>Investitions-
volumen:</t>
  </si>
  <si>
    <t>Bem.Grundl.</t>
  </si>
  <si>
    <t>% Sub.Wert</t>
  </si>
  <si>
    <t>Zuschuss nach Richtlinie Teil A</t>
  </si>
  <si>
    <t>min.</t>
  </si>
  <si>
    <t>max.</t>
  </si>
  <si>
    <t>Zuschuss Erschließung</t>
  </si>
  <si>
    <t>Zusch.staffelung Betreuer:</t>
  </si>
  <si>
    <t>Junglandwirtezuschuss</t>
  </si>
  <si>
    <t>zuw. Kosten</t>
  </si>
  <si>
    <t>Zusch. max.</t>
  </si>
  <si>
    <t>Betreuerzuschuss</t>
  </si>
  <si>
    <t>über</t>
  </si>
  <si>
    <t>Summe aller gewährten De-Minimis-Förderm. der letzten drei Steuerjahre:</t>
  </si>
  <si>
    <t>Kürzung wg. Überschreitung Subventionswert</t>
  </si>
  <si>
    <t>Subventionswert:</t>
  </si>
  <si>
    <t>Summe Zuschüsse</t>
  </si>
  <si>
    <t xml:space="preserve"> Stufe:</t>
  </si>
  <si>
    <t>Laufzeit (Jahre)</t>
  </si>
  <si>
    <t>Zinssatz (%)</t>
  </si>
  <si>
    <t>tats. Zuschuss:</t>
  </si>
  <si>
    <t>Darlehen 1-A</t>
  </si>
  <si>
    <t>Darlehen 2-A</t>
  </si>
  <si>
    <t>Darlehen 3-A</t>
  </si>
  <si>
    <t>Darlehen 4-A</t>
  </si>
  <si>
    <t xml:space="preserve"> Summe Darlehen</t>
  </si>
  <si>
    <t xml:space="preserve"> Summe Finanzierungsmittel bar</t>
  </si>
  <si>
    <t xml:space="preserve"> Se. Finanzierungsbedarf, bar</t>
  </si>
  <si>
    <r>
      <t>m</t>
    </r>
    <r>
      <rPr>
        <vertAlign val="superscript"/>
        <sz val="9"/>
        <color indexed="12"/>
        <rFont val="Arial"/>
        <family val="2"/>
      </rPr>
      <t>3</t>
    </r>
  </si>
  <si>
    <r>
      <t>gestaffelt</t>
    </r>
    <r>
      <rPr>
        <sz val="7"/>
        <rFont val="Arial"/>
        <family val="2"/>
      </rPr>
      <t xml:space="preserve"> (s.Tab. rechts)</t>
    </r>
  </si>
  <si>
    <t xml:space="preserve"> zus. Zuschuss tierger. Haltung</t>
  </si>
  <si>
    <t>Bemessungsgrundlage Abschreibung</t>
  </si>
  <si>
    <r>
      <t>Der Wert wird vom Arbeitsblatt [</t>
    </r>
    <r>
      <rPr>
        <b/>
        <sz val="11"/>
        <rFont val="Arial"/>
        <family val="2"/>
      </rPr>
      <t>Investition</t>
    </r>
    <r>
      <rPr>
        <sz val="11"/>
        <rFont val="Arial"/>
        <family val="2"/>
      </rPr>
      <t>] übernommen.</t>
    </r>
  </si>
  <si>
    <t>Ansprechpartner:  Dr.Volker Segger (Tel.: 07171 / 917 - 229); Georg Mager (Tel.: 07171 / 917 -270)</t>
  </si>
  <si>
    <t xml:space="preserve"> Unterhaltung Gebäude</t>
  </si>
  <si>
    <t>Melkroboter</t>
  </si>
  <si>
    <t xml:space="preserve">Der gewählte Rechenansatz beschränkt sich bewusst auf den Betriebszweig Milchvieh mit Jungvieh und </t>
  </si>
  <si>
    <t>keit der geplanten Maßnahme zu. In den Berechnungen wird von einem pauschalierenden Betrieb ausgegangen.</t>
  </si>
  <si>
    <t>Version 2.4
7/2010</t>
  </si>
  <si>
    <t xml:space="preserve"> Darlehen</t>
  </si>
  <si>
    <t>inkl. ZA</t>
  </si>
  <si>
    <t>um weitere 10 % erhöht werden.</t>
  </si>
  <si>
    <t>25 % gefördert werden.</t>
  </si>
  <si>
    <t xml:space="preserve">Das Programm unterstellt generell die Regelförderung von 25 %. Eine zusätzliche Förderung für besonders </t>
  </si>
  <si>
    <t>werden auf Basis der Förderrichtlinie des MLR berechnet.</t>
  </si>
  <si>
    <t>Es können 4 verschiedene Darlehen eingegeben werden.</t>
  </si>
  <si>
    <t xml:space="preserve">Von den baren Ausgaben werden die Zuschüsse abgezogen, </t>
  </si>
  <si>
    <t>um den Fördereffekt bei den jährlichen Kosten der Maßnahme zu berücksichtigen.</t>
  </si>
  <si>
    <t>Werden die Zins- und Tilgungsbeträge für alle Darlehen unter Berücksichtigung der Laufzeit ausgewiesen.</t>
  </si>
  <si>
    <t>Die Prämien setzen sich aus dem jeweiligen Grundbetrag der Betriebsprämie (ca.70 € für Grünland, 300 € bei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</si>
</sst>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0.000"/>
    <numFmt numFmtId="170" formatCode="#,##0.0"/>
    <numFmt numFmtId="171" formatCode="0.0"/>
    <numFmt numFmtId="172" formatCode="0.0%"/>
    <numFmt numFmtId="173" formatCode="#,##0__"/>
    <numFmt numFmtId="174" formatCode="#,##0.0__"/>
    <numFmt numFmtId="175" formatCode="#,##0.00__"/>
    <numFmt numFmtId="176" formatCode="0.00000"/>
    <numFmt numFmtId="177" formatCode="_-* #,##0.00\ [$€-1]_-;\-* #,##0.00\ [$€-1]_-;_-* &quot;-&quot;??\ [$€-1]_-"/>
    <numFmt numFmtId="178" formatCode="_-* #,##0\ [$€-1]_-;\-* #,##0\ [$€-1]_-;_-* &quot;-&quot;??\ [$€-1]_-"/>
    <numFmt numFmtId="179" formatCode="#,##0\ \ \k\g;\-#,##0\ \ \k\g"/>
    <numFmt numFmtId="180" formatCode="#,##0.0\ \ &quot;ct&quot;;\-#,##0.0\ \ &quot;ct&quot;"/>
    <numFmt numFmtId="181" formatCode="#,##0\ [$€-1]"/>
    <numFmt numFmtId="182" formatCode="&quot;Bare Eigenmittel sind um&quot;\ #,##0\ &quot;€ zu hoch!&quot;"/>
    <numFmt numFmtId="183" formatCode="#,##0\ &quot;kg&quot;"/>
    <numFmt numFmtId="184" formatCode="0\ &quot;St.&quot;"/>
    <numFmt numFmtId="185" formatCode="#,##0;[Red]\-#,##0"/>
    <numFmt numFmtId="186" formatCode="#,##0_ ;[Red]\-#,##0\ "/>
    <numFmt numFmtId="187" formatCode="#,##0_ ;[Red]\-#,##0\ ;"/>
    <numFmt numFmtId="188" formatCode="0.0#"/>
    <numFmt numFmtId="189" formatCode="#,##0\ "/>
    <numFmt numFmtId="190" formatCode="0.0\ "/>
    <numFmt numFmtId="191" formatCode="#,##0\ ;[Red]\-#,##0\ "/>
    <numFmt numFmtId="192" formatCode="#,##0\ ;[Red]\-#,##0\ \ "/>
    <numFmt numFmtId="193" formatCode="\ @"/>
    <numFmt numFmtId="194" formatCode="#,##0.00\ ;[Red]\-#,##0.00\ \ "/>
    <numFmt numFmtId="195" formatCode="\ 00000"/>
    <numFmt numFmtId="196" formatCode="#,##0__;[Red]\-#,##0__"/>
    <numFmt numFmtId="197" formatCode="#,##0__;[Red]\-#,##0__;"/>
    <numFmt numFmtId="198" formatCode="\ 000;000;"/>
    <numFmt numFmtId="199" formatCode="\ 00000;;"/>
    <numFmt numFmtId="200" formatCode="#,##0.0\ ;[Red]\-#,##0.0\ ;"/>
    <numFmt numFmtId="201" formatCode="0.0;\ \-0.0;"/>
  </numFmts>
  <fonts count="9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8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1"/>
      <color indexed="12"/>
      <name val="Arial"/>
      <family val="2"/>
    </font>
    <font>
      <sz val="10"/>
      <name val="Arial Narrow"/>
      <family val="2"/>
    </font>
    <font>
      <sz val="8"/>
      <name val="Tahoma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 Narrow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sz val="11"/>
      <color indexed="12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12"/>
      <name val="Arial"/>
      <family val="2"/>
    </font>
    <font>
      <vertAlign val="superscript"/>
      <sz val="10"/>
      <name val="Arial Narrow"/>
      <family val="2"/>
    </font>
    <font>
      <b/>
      <u val="single"/>
      <sz val="11"/>
      <color indexed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3"/>
      <name val="Arial"/>
      <family val="2"/>
    </font>
    <font>
      <b/>
      <sz val="8"/>
      <name val="Tahoma"/>
      <family val="0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0"/>
      <name val="Garamond"/>
      <family val="1"/>
    </font>
    <font>
      <b/>
      <i/>
      <u val="single"/>
      <sz val="10"/>
      <name val="Garamond"/>
      <family val="1"/>
    </font>
    <font>
      <u val="single"/>
      <sz val="7.2"/>
      <color indexed="36"/>
      <name val="Arial"/>
      <family val="0"/>
    </font>
    <font>
      <u val="single"/>
      <sz val="7.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12"/>
      <name val="Arial"/>
      <family val="2"/>
    </font>
    <font>
      <sz val="8"/>
      <color indexed="14"/>
      <name val="Arial"/>
      <family val="2"/>
    </font>
    <font>
      <sz val="9"/>
      <color indexed="12"/>
      <name val="Arial"/>
      <family val="2"/>
    </font>
    <font>
      <vertAlign val="superscript"/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8"/>
      <name val="helv"/>
      <family val="0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56"/>
      <name val="Arial"/>
      <family val="2"/>
    </font>
    <font>
      <b/>
      <sz val="10"/>
      <color indexed="4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10"/>
      <color indexed="61"/>
      <name val="Arial"/>
      <family val="2"/>
    </font>
    <font>
      <b/>
      <sz val="10"/>
      <color indexed="60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>
        <color indexed="56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0" borderId="2" applyNumberFormat="0" applyAlignment="0" applyProtection="0"/>
    <xf numFmtId="0" fontId="5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1" fillId="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4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6" fillId="3" borderId="0" applyNumberFormat="0" applyBorder="0" applyAlignment="0" applyProtection="0"/>
    <xf numFmtId="0" fontId="5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3" borderId="9" applyNumberFormat="0" applyAlignment="0" applyProtection="0"/>
  </cellStyleXfs>
  <cellXfs count="1231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3" fontId="0" fillId="24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17" fillId="0" borderId="2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4" fillId="20" borderId="24" xfId="0" applyFont="1" applyFill="1" applyBorder="1" applyAlignment="1" applyProtection="1">
      <alignment horizontal="centerContinuous" vertical="center"/>
      <protection/>
    </xf>
    <xf numFmtId="0" fontId="14" fillId="20" borderId="24" xfId="0" applyFont="1" applyFill="1" applyBorder="1" applyAlignment="1" applyProtection="1">
      <alignment horizontal="centerContinuous" vertical="center"/>
      <protection/>
    </xf>
    <xf numFmtId="0" fontId="5" fillId="24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centerContinuous" vertical="center" wrapText="1"/>
      <protection/>
    </xf>
    <xf numFmtId="0" fontId="0" fillId="0" borderId="0" xfId="0" applyFont="1" applyBorder="1" applyAlignment="1" applyProtection="1">
      <alignment horizontal="centerContinuous" vertical="center" wrapText="1"/>
      <protection/>
    </xf>
    <xf numFmtId="0" fontId="0" fillId="0" borderId="26" xfId="0" applyFont="1" applyBorder="1" applyAlignment="1" applyProtection="1">
      <alignment horizontal="centerContinuous" vertical="center" wrapText="1"/>
      <protection/>
    </xf>
    <xf numFmtId="0" fontId="0" fillId="0" borderId="27" xfId="0" applyFont="1" applyBorder="1" applyAlignment="1" applyProtection="1">
      <alignment horizontal="centerContinuous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Continuous" vertical="center" wrapText="1"/>
      <protection/>
    </xf>
    <xf numFmtId="0" fontId="17" fillId="0" borderId="12" xfId="0" applyFont="1" applyBorder="1" applyAlignment="1" applyProtection="1">
      <alignment horizontal="centerContinuous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Continuous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8" fillId="0" borderId="25" xfId="0" applyFont="1" applyBorder="1" applyAlignment="1" applyProtection="1">
      <alignment horizontal="centerContinuous" vertical="center" wrapText="1"/>
      <protection/>
    </xf>
    <xf numFmtId="0" fontId="8" fillId="0" borderId="0" xfId="0" applyFont="1" applyBorder="1" applyAlignment="1" applyProtection="1">
      <alignment horizontal="centerContinuous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Continuous" vertical="center" wrapText="1"/>
      <protection/>
    </xf>
    <xf numFmtId="0" fontId="8" fillId="0" borderId="14" xfId="0" applyFont="1" applyBorder="1" applyAlignment="1" applyProtection="1">
      <alignment horizontal="centerContinuous" vertical="center" wrapText="1"/>
      <protection/>
    </xf>
    <xf numFmtId="0" fontId="0" fillId="0" borderId="0" xfId="0" applyFont="1" applyBorder="1" applyAlignment="1" applyProtection="1">
      <alignment vertical="top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24" borderId="0" xfId="0" applyFont="1" applyFill="1" applyAlignment="1" applyProtection="1">
      <alignment horizontal="left" vertical="center"/>
      <protection/>
    </xf>
    <xf numFmtId="0" fontId="6" fillId="20" borderId="31" xfId="0" applyFont="1" applyFill="1" applyBorder="1" applyAlignment="1" applyProtection="1">
      <alignment horizontal="centerContinuous" vertical="center"/>
      <protection/>
    </xf>
    <xf numFmtId="0" fontId="4" fillId="20" borderId="32" xfId="0" applyFont="1" applyFill="1" applyBorder="1" applyAlignment="1" applyProtection="1">
      <alignment horizontal="centerContinuous" vertical="center"/>
      <protection/>
    </xf>
    <xf numFmtId="3" fontId="18" fillId="0" borderId="33" xfId="0" applyNumberFormat="1" applyFont="1" applyBorder="1" applyAlignment="1" applyProtection="1">
      <alignment horizontal="center" vertical="center"/>
      <protection/>
    </xf>
    <xf numFmtId="3" fontId="18" fillId="0" borderId="0" xfId="0" applyNumberFormat="1" applyFont="1" applyBorder="1" applyAlignment="1" applyProtection="1">
      <alignment horizontal="center" vertical="center"/>
      <protection/>
    </xf>
    <xf numFmtId="2" fontId="11" fillId="0" borderId="14" xfId="0" applyNumberFormat="1" applyFont="1" applyBorder="1" applyAlignment="1" applyProtection="1">
      <alignment horizontal="center" vertical="center"/>
      <protection/>
    </xf>
    <xf numFmtId="3" fontId="18" fillId="0" borderId="34" xfId="0" applyNumberFormat="1" applyFont="1" applyBorder="1" applyAlignment="1" applyProtection="1">
      <alignment horizontal="center" vertical="center"/>
      <protection/>
    </xf>
    <xf numFmtId="2" fontId="11" fillId="0" borderId="35" xfId="0" applyNumberFormat="1" applyFont="1" applyBorder="1" applyAlignment="1" applyProtection="1">
      <alignment horizontal="center" vertical="center"/>
      <protection/>
    </xf>
    <xf numFmtId="3" fontId="18" fillId="0" borderId="22" xfId="0" applyNumberFormat="1" applyFont="1" applyBorder="1" applyAlignment="1" applyProtection="1">
      <alignment horizontal="center" vertical="center"/>
      <protection/>
    </xf>
    <xf numFmtId="3" fontId="18" fillId="0" borderId="36" xfId="0" applyNumberFormat="1" applyFont="1" applyBorder="1" applyAlignment="1" applyProtection="1">
      <alignment horizontal="center" vertical="center"/>
      <protection/>
    </xf>
    <xf numFmtId="2" fontId="11" fillId="0" borderId="37" xfId="0" applyNumberFormat="1" applyFont="1" applyBorder="1" applyAlignment="1" applyProtection="1">
      <alignment horizontal="center" vertical="center"/>
      <protection/>
    </xf>
    <xf numFmtId="3" fontId="18" fillId="0" borderId="38" xfId="0" applyNumberFormat="1" applyFont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 applyProtection="1">
      <alignment horizontal="center" vertical="center"/>
      <protection/>
    </xf>
    <xf numFmtId="2" fontId="11" fillId="0" borderId="13" xfId="0" applyNumberFormat="1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vertical="center"/>
      <protection/>
    </xf>
    <xf numFmtId="0" fontId="18" fillId="0" borderId="39" xfId="0" applyFont="1" applyBorder="1" applyAlignment="1" applyProtection="1">
      <alignment vertical="center"/>
      <protection/>
    </xf>
    <xf numFmtId="0" fontId="6" fillId="20" borderId="24" xfId="0" applyFont="1" applyFill="1" applyBorder="1" applyAlignment="1" applyProtection="1">
      <alignment horizontal="left" vertical="center"/>
      <protection/>
    </xf>
    <xf numFmtId="0" fontId="6" fillId="20" borderId="31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9" xfId="54" applyFont="1" applyBorder="1" applyAlignment="1" applyProtection="1">
      <alignment horizontal="centerContinuous" vertical="center"/>
      <protection/>
    </xf>
    <xf numFmtId="0" fontId="0" fillId="0" borderId="40" xfId="54" applyFont="1" applyBorder="1" applyAlignment="1" applyProtection="1">
      <alignment horizontal="centerContinuous" vertical="center"/>
      <protection/>
    </xf>
    <xf numFmtId="0" fontId="0" fillId="0" borderId="20" xfId="54" applyFont="1" applyBorder="1" applyAlignment="1" applyProtection="1">
      <alignment horizontal="centerContinuous" vertical="center"/>
      <protection/>
    </xf>
    <xf numFmtId="0" fontId="0" fillId="0" borderId="17" xfId="54" applyFont="1" applyBorder="1" applyAlignment="1" applyProtection="1">
      <alignment vertical="center"/>
      <protection/>
    </xf>
    <xf numFmtId="0" fontId="0" fillId="0" borderId="17" xfId="54" applyFont="1" applyBorder="1" applyAlignment="1" applyProtection="1">
      <alignment horizontal="center" vertical="center"/>
      <protection/>
    </xf>
    <xf numFmtId="0" fontId="0" fillId="0" borderId="17" xfId="54" applyFont="1" applyBorder="1" applyAlignment="1" applyProtection="1">
      <alignment horizontal="centerContinuous" vertical="center"/>
      <protection/>
    </xf>
    <xf numFmtId="0" fontId="0" fillId="0" borderId="41" xfId="54" applyFont="1" applyBorder="1" applyAlignment="1" applyProtection="1">
      <alignment horizontal="centerContinuous" vertical="center"/>
      <protection/>
    </xf>
    <xf numFmtId="0" fontId="0" fillId="0" borderId="34" xfId="54" applyFont="1" applyBorder="1" applyAlignment="1" applyProtection="1">
      <alignment horizontal="center" vertical="center"/>
      <protection/>
    </xf>
    <xf numFmtId="0" fontId="0" fillId="0" borderId="33" xfId="54" applyFont="1" applyBorder="1" applyAlignment="1" applyProtection="1">
      <alignment horizontal="centerContinuous" vertical="center"/>
      <protection/>
    </xf>
    <xf numFmtId="3" fontId="0" fillId="22" borderId="17" xfId="54" applyNumberFormat="1" applyFont="1" applyFill="1" applyBorder="1" applyAlignment="1" applyProtection="1">
      <alignment horizontal="center" vertical="center"/>
      <protection/>
    </xf>
    <xf numFmtId="0" fontId="0" fillId="22" borderId="17" xfId="54" applyFont="1" applyFill="1" applyBorder="1" applyAlignment="1" applyProtection="1">
      <alignment horizontal="center" vertical="center"/>
      <protection/>
    </xf>
    <xf numFmtId="0" fontId="0" fillId="22" borderId="17" xfId="54" applyFont="1" applyFill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6" fillId="4" borderId="0" xfId="0" applyFont="1" applyFill="1" applyBorder="1" applyAlignment="1" applyProtection="1">
      <alignment horizontal="centerContinuous" vertical="center"/>
      <protection/>
    </xf>
    <xf numFmtId="173" fontId="28" fillId="0" borderId="0" xfId="0" applyNumberFormat="1" applyFont="1" applyAlignment="1" applyProtection="1">
      <alignment vertical="center"/>
      <protection/>
    </xf>
    <xf numFmtId="173" fontId="29" fillId="0" borderId="42" xfId="0" applyNumberFormat="1" applyFont="1" applyBorder="1" applyAlignment="1" applyProtection="1">
      <alignment vertical="center"/>
      <protection/>
    </xf>
    <xf numFmtId="173" fontId="0" fillId="24" borderId="3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174" fontId="0" fillId="21" borderId="33" xfId="0" applyNumberFormat="1" applyFont="1" applyFill="1" applyBorder="1" applyAlignment="1" applyProtection="1">
      <alignment horizontal="right" vertical="center"/>
      <protection locked="0"/>
    </xf>
    <xf numFmtId="0" fontId="22" fillId="0" borderId="44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10" fontId="0" fillId="24" borderId="44" xfId="0" applyNumberFormat="1" applyFont="1" applyFill="1" applyBorder="1" applyAlignment="1" applyProtection="1">
      <alignment horizontal="left" vertical="center"/>
      <protection/>
    </xf>
    <xf numFmtId="174" fontId="0" fillId="21" borderId="36" xfId="0" applyNumberFormat="1" applyFont="1" applyFill="1" applyBorder="1" applyAlignment="1" applyProtection="1">
      <alignment horizontal="right" vertical="center"/>
      <protection locked="0"/>
    </xf>
    <xf numFmtId="174" fontId="0" fillId="21" borderId="45" xfId="0" applyNumberFormat="1" applyFont="1" applyFill="1" applyBorder="1" applyAlignment="1" applyProtection="1">
      <alignment horizontal="right" vertical="center"/>
      <protection locked="0"/>
    </xf>
    <xf numFmtId="173" fontId="11" fillId="24" borderId="46" xfId="0" applyNumberFormat="1" applyFont="1" applyFill="1" applyBorder="1" applyAlignment="1" applyProtection="1">
      <alignment horizontal="right" vertical="center"/>
      <protection/>
    </xf>
    <xf numFmtId="174" fontId="1" fillId="24" borderId="47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14" fontId="1" fillId="24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24" borderId="43" xfId="0" applyFont="1" applyFill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21" fillId="24" borderId="0" xfId="0" applyFont="1" applyFill="1" applyBorder="1" applyAlignment="1" applyProtection="1">
      <alignment horizontal="center" vertical="center"/>
      <protection/>
    </xf>
    <xf numFmtId="3" fontId="0" fillId="0" borderId="48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" fontId="1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" fontId="21" fillId="22" borderId="48" xfId="0" applyNumberFormat="1" applyFont="1" applyFill="1" applyBorder="1" applyAlignment="1" applyProtection="1">
      <alignment horizontal="center" vertical="center"/>
      <protection/>
    </xf>
    <xf numFmtId="172" fontId="21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right" vertical="center"/>
      <protection/>
    </xf>
    <xf numFmtId="3" fontId="21" fillId="24" borderId="0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24" borderId="19" xfId="0" applyFont="1" applyFill="1" applyBorder="1" applyAlignment="1" applyProtection="1">
      <alignment horizontal="center" vertical="center"/>
      <protection/>
    </xf>
    <xf numFmtId="0" fontId="19" fillId="24" borderId="19" xfId="0" applyFont="1" applyFill="1" applyBorder="1" applyAlignment="1" applyProtection="1">
      <alignment horizontal="centerContinuous" vertical="center"/>
      <protection/>
    </xf>
    <xf numFmtId="0" fontId="19" fillId="24" borderId="40" xfId="0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24" borderId="15" xfId="0" applyFont="1" applyFill="1" applyBorder="1" applyAlignment="1" applyProtection="1">
      <alignment horizontal="center" vertical="center" wrapText="1"/>
      <protection/>
    </xf>
    <xf numFmtId="0" fontId="19" fillId="24" borderId="15" xfId="0" applyFont="1" applyFill="1" applyBorder="1" applyAlignment="1" applyProtection="1">
      <alignment horizontal="centerContinuous" vertical="center" wrapText="1"/>
      <protection/>
    </xf>
    <xf numFmtId="0" fontId="1" fillId="0" borderId="33" xfId="0" applyFont="1" applyBorder="1" applyAlignment="1" applyProtection="1">
      <alignment horizontal="centerContinuous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/>
      <protection/>
    </xf>
    <xf numFmtId="0" fontId="19" fillId="24" borderId="34" xfId="0" applyFont="1" applyFill="1" applyBorder="1" applyAlignment="1" applyProtection="1">
      <alignment horizontal="left" vertical="center"/>
      <protection/>
    </xf>
    <xf numFmtId="173" fontId="12" fillId="24" borderId="17" xfId="42" applyNumberFormat="1" applyFont="1" applyFill="1" applyBorder="1" applyAlignment="1" applyProtection="1">
      <alignment horizontal="right" vertical="center"/>
      <protection/>
    </xf>
    <xf numFmtId="175" fontId="19" fillId="24" borderId="41" xfId="42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24" borderId="41" xfId="0" applyFont="1" applyFill="1" applyBorder="1" applyAlignment="1" applyProtection="1">
      <alignment horizontal="left" vertical="center"/>
      <protection/>
    </xf>
    <xf numFmtId="173" fontId="12" fillId="24" borderId="41" xfId="42" applyNumberFormat="1" applyFont="1" applyFill="1" applyBorder="1" applyAlignment="1" applyProtection="1">
      <alignment horizontal="right"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1" fontId="1" fillId="24" borderId="0" xfId="0" applyNumberFormat="1" applyFont="1" applyFill="1" applyBorder="1" applyAlignment="1" applyProtection="1">
      <alignment horizontal="center" vertical="center"/>
      <protection/>
    </xf>
    <xf numFmtId="2" fontId="1" fillId="24" borderId="48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171" fontId="1" fillId="24" borderId="0" xfId="0" applyNumberFormat="1" applyFont="1" applyFill="1" applyBorder="1" applyAlignment="1" applyProtection="1">
      <alignment horizontal="center" vertical="center"/>
      <protection/>
    </xf>
    <xf numFmtId="171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175" fontId="1" fillId="24" borderId="0" xfId="0" applyNumberFormat="1" applyFont="1" applyFill="1" applyBorder="1" applyAlignment="1" applyProtection="1">
      <alignment horizontal="right" vertical="center"/>
      <protection/>
    </xf>
    <xf numFmtId="175" fontId="0" fillId="24" borderId="0" xfId="0" applyNumberFormat="1" applyFont="1" applyFill="1" applyBorder="1" applyAlignment="1" applyProtection="1">
      <alignment vertical="center"/>
      <protection/>
    </xf>
    <xf numFmtId="3" fontId="1" fillId="24" borderId="48" xfId="0" applyNumberFormat="1" applyFont="1" applyFill="1" applyBorder="1" applyAlignment="1" applyProtection="1">
      <alignment horizontal="center" vertical="center"/>
      <protection/>
    </xf>
    <xf numFmtId="175" fontId="0" fillId="24" borderId="0" xfId="0" applyNumberFormat="1" applyFont="1" applyFill="1" applyBorder="1" applyAlignment="1" applyProtection="1">
      <alignment horizontal="center" vertical="center"/>
      <protection/>
    </xf>
    <xf numFmtId="175" fontId="0" fillId="24" borderId="0" xfId="0" applyNumberFormat="1" applyFont="1" applyFill="1" applyBorder="1" applyAlignment="1" applyProtection="1">
      <alignment horizontal="left" vertical="center"/>
      <protection/>
    </xf>
    <xf numFmtId="173" fontId="0" fillId="24" borderId="0" xfId="0" applyNumberFormat="1" applyFont="1" applyFill="1" applyBorder="1" applyAlignment="1" applyProtection="1">
      <alignment horizontal="right" vertical="center"/>
      <protection/>
    </xf>
    <xf numFmtId="3" fontId="21" fillId="24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175" fontId="8" fillId="24" borderId="0" xfId="0" applyNumberFormat="1" applyFont="1" applyFill="1" applyBorder="1" applyAlignment="1" applyProtection="1">
      <alignment horizontal="left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34" xfId="0" applyFont="1" applyBorder="1" applyAlignment="1" applyProtection="1">
      <alignment horizontal="center" vertical="center"/>
      <protection/>
    </xf>
    <xf numFmtId="2" fontId="0" fillId="0" borderId="41" xfId="0" applyNumberFormat="1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vertical="center"/>
      <protection/>
    </xf>
    <xf numFmtId="173" fontId="8" fillId="0" borderId="42" xfId="0" applyNumberFormat="1" applyFont="1" applyBorder="1" applyAlignment="1" applyProtection="1">
      <alignment vertical="center"/>
      <protection/>
    </xf>
    <xf numFmtId="173" fontId="0" fillId="0" borderId="0" xfId="0" applyNumberFormat="1" applyFont="1" applyAlignment="1" applyProtection="1">
      <alignment vertical="center"/>
      <protection/>
    </xf>
    <xf numFmtId="173" fontId="8" fillId="0" borderId="0" xfId="0" applyNumberFormat="1" applyFont="1" applyBorder="1" applyAlignment="1" applyProtection="1">
      <alignment vertical="center"/>
      <protection/>
    </xf>
    <xf numFmtId="0" fontId="18" fillId="24" borderId="24" xfId="54" applyFont="1" applyFill="1" applyBorder="1" applyAlignment="1" applyProtection="1">
      <alignment vertical="center"/>
      <protection/>
    </xf>
    <xf numFmtId="0" fontId="18" fillId="24" borderId="26" xfId="54" applyFont="1" applyFill="1" applyBorder="1" applyAlignment="1" applyProtection="1">
      <alignment horizontal="centerContinuous" vertical="center"/>
      <protection/>
    </xf>
    <xf numFmtId="3" fontId="20" fillId="24" borderId="11" xfId="54" applyNumberFormat="1" applyFont="1" applyFill="1" applyBorder="1" applyAlignment="1" applyProtection="1">
      <alignment horizontal="centerContinuous" vertical="center"/>
      <protection/>
    </xf>
    <xf numFmtId="0" fontId="11" fillId="24" borderId="12" xfId="54" applyFont="1" applyFill="1" applyBorder="1" applyAlignment="1" applyProtection="1">
      <alignment horizontal="centerContinuous" vertical="center"/>
      <protection/>
    </xf>
    <xf numFmtId="0" fontId="18" fillId="0" borderId="10" xfId="54" applyFont="1" applyBorder="1" applyAlignment="1" applyProtection="1">
      <alignment vertical="center"/>
      <protection/>
    </xf>
    <xf numFmtId="0" fontId="11" fillId="0" borderId="39" xfId="54" applyFont="1" applyBorder="1" applyAlignment="1" applyProtection="1">
      <alignment horizontal="centerContinuous" vertical="center"/>
      <protection/>
    </xf>
    <xf numFmtId="0" fontId="11" fillId="0" borderId="10" xfId="54" applyFont="1" applyFill="1" applyBorder="1" applyAlignment="1" applyProtection="1">
      <alignment horizontal="centerContinuous" vertical="center"/>
      <protection/>
    </xf>
    <xf numFmtId="0" fontId="18" fillId="0" borderId="39" xfId="54" applyFont="1" applyFill="1" applyBorder="1" applyAlignment="1" applyProtection="1">
      <alignment horizontal="centerContinuous" vertical="center"/>
      <protection/>
    </xf>
    <xf numFmtId="0" fontId="11" fillId="0" borderId="47" xfId="54" applyFont="1" applyFill="1" applyBorder="1" applyAlignment="1" applyProtection="1">
      <alignment horizontal="centerContinuous" vertical="center"/>
      <protection/>
    </xf>
    <xf numFmtId="0" fontId="11" fillId="0" borderId="50" xfId="54" applyFont="1" applyBorder="1" applyAlignment="1" applyProtection="1">
      <alignment vertical="center"/>
      <protection/>
    </xf>
    <xf numFmtId="0" fontId="18" fillId="0" borderId="24" xfId="54" applyFont="1" applyBorder="1" applyAlignment="1" applyProtection="1">
      <alignment vertical="center"/>
      <protection/>
    </xf>
    <xf numFmtId="0" fontId="18" fillId="0" borderId="24" xfId="54" applyFont="1" applyBorder="1" applyAlignment="1" applyProtection="1">
      <alignment horizontal="center" vertical="center"/>
      <protection/>
    </xf>
    <xf numFmtId="175" fontId="11" fillId="24" borderId="24" xfId="54" applyNumberFormat="1" applyFont="1" applyFill="1" applyBorder="1" applyAlignment="1" applyProtection="1">
      <alignment horizontal="right" vertical="center"/>
      <protection/>
    </xf>
    <xf numFmtId="173" fontId="11" fillId="24" borderId="31" xfId="54" applyNumberFormat="1" applyFont="1" applyFill="1" applyBorder="1" applyAlignment="1" applyProtection="1">
      <alignment horizontal="right" vertical="center"/>
      <protection/>
    </xf>
    <xf numFmtId="175" fontId="11" fillId="24" borderId="31" xfId="54" applyNumberFormat="1" applyFont="1" applyFill="1" applyBorder="1" applyAlignment="1" applyProtection="1">
      <alignment horizontal="right" vertical="center"/>
      <protection/>
    </xf>
    <xf numFmtId="0" fontId="11" fillId="0" borderId="51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horizontal="center" vertical="center"/>
      <protection/>
    </xf>
    <xf numFmtId="175" fontId="11" fillId="24" borderId="10" xfId="54" applyNumberFormat="1" applyFont="1" applyFill="1" applyBorder="1" applyAlignment="1" applyProtection="1">
      <alignment horizontal="right" vertical="center"/>
      <protection/>
    </xf>
    <xf numFmtId="0" fontId="18" fillId="24" borderId="10" xfId="54" applyFont="1" applyFill="1" applyBorder="1" applyAlignment="1" applyProtection="1">
      <alignment vertical="center"/>
      <protection/>
    </xf>
    <xf numFmtId="173" fontId="11" fillId="24" borderId="39" xfId="54" applyNumberFormat="1" applyFont="1" applyFill="1" applyBorder="1" applyAlignment="1" applyProtection="1">
      <alignment horizontal="right" vertical="center"/>
      <protection/>
    </xf>
    <xf numFmtId="175" fontId="11" fillId="24" borderId="39" xfId="54" applyNumberFormat="1" applyFont="1" applyFill="1" applyBorder="1" applyAlignment="1" applyProtection="1">
      <alignment horizontal="right" vertical="center"/>
      <protection/>
    </xf>
    <xf numFmtId="0" fontId="0" fillId="0" borderId="0" xfId="54" applyFont="1" applyAlignment="1" applyProtection="1">
      <alignment vertical="center"/>
      <protection locked="0"/>
    </xf>
    <xf numFmtId="0" fontId="0" fillId="0" borderId="0" xfId="54" applyFont="1" applyAlignment="1" applyProtection="1">
      <alignment vertical="center"/>
      <protection/>
    </xf>
    <xf numFmtId="0" fontId="40" fillId="0" borderId="0" xfId="54" applyFont="1" applyFill="1" applyBorder="1" applyAlignment="1" applyProtection="1">
      <alignment horizontal="centerContinuous" vertical="center"/>
      <protection/>
    </xf>
    <xf numFmtId="0" fontId="38" fillId="0" borderId="0" xfId="54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19" fillId="24" borderId="43" xfId="54" applyFont="1" applyFill="1" applyBorder="1" applyAlignment="1" applyProtection="1">
      <alignment horizontal="left" vertical="center"/>
      <protection/>
    </xf>
    <xf numFmtId="0" fontId="38" fillId="0" borderId="43" xfId="54" applyFont="1" applyFill="1" applyBorder="1" applyAlignment="1" applyProtection="1">
      <alignment horizontal="centerContinuous" vertical="center"/>
      <protection/>
    </xf>
    <xf numFmtId="0" fontId="0" fillId="0" borderId="0" xfId="54" applyFont="1" applyBorder="1" applyAlignment="1" applyProtection="1">
      <alignment vertical="center"/>
      <protection/>
    </xf>
    <xf numFmtId="0" fontId="0" fillId="0" borderId="0" xfId="54" applyFont="1" applyFill="1" applyAlignment="1" applyProtection="1">
      <alignment vertical="center"/>
      <protection/>
    </xf>
    <xf numFmtId="0" fontId="0" fillId="0" borderId="43" xfId="54" applyFont="1" applyBorder="1" applyAlignment="1" applyProtection="1">
      <alignment vertical="center"/>
      <protection/>
    </xf>
    <xf numFmtId="173" fontId="1" fillId="24" borderId="48" xfId="54" applyNumberFormat="1" applyFont="1" applyFill="1" applyBorder="1" applyAlignment="1" applyProtection="1">
      <alignment horizontal="right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9" fillId="0" borderId="0" xfId="54" applyFont="1" applyAlignment="1" applyProtection="1">
      <alignment vertical="center"/>
      <protection/>
    </xf>
    <xf numFmtId="0" fontId="39" fillId="0" borderId="0" xfId="54" applyFont="1" applyFill="1" applyBorder="1" applyAlignment="1" applyProtection="1">
      <alignment horizontal="centerContinuous" vertical="center"/>
      <protection/>
    </xf>
    <xf numFmtId="0" fontId="0" fillId="0" borderId="0" xfId="54" applyFont="1" applyFill="1" applyBorder="1" applyAlignment="1" applyProtection="1">
      <alignment horizontal="centerContinuous" vertical="center"/>
      <protection/>
    </xf>
    <xf numFmtId="0" fontId="0" fillId="24" borderId="24" xfId="54" applyFont="1" applyFill="1" applyBorder="1" applyAlignment="1" applyProtection="1">
      <alignment vertical="center"/>
      <protection/>
    </xf>
    <xf numFmtId="0" fontId="1" fillId="24" borderId="24" xfId="54" applyFont="1" applyFill="1" applyBorder="1" applyAlignment="1" applyProtection="1">
      <alignment horizontal="centerContinuous" vertical="center"/>
      <protection/>
    </xf>
    <xf numFmtId="0" fontId="0" fillId="24" borderId="24" xfId="54" applyFont="1" applyFill="1" applyBorder="1" applyAlignment="1" applyProtection="1">
      <alignment horizontal="centerContinuous" vertical="center"/>
      <protection/>
    </xf>
    <xf numFmtId="0" fontId="1" fillId="24" borderId="32" xfId="54" applyFont="1" applyFill="1" applyBorder="1" applyAlignment="1" applyProtection="1">
      <alignment vertical="center"/>
      <protection/>
    </xf>
    <xf numFmtId="0" fontId="0" fillId="0" borderId="15" xfId="54" applyFont="1" applyBorder="1" applyAlignment="1" applyProtection="1">
      <alignment vertical="center"/>
      <protection/>
    </xf>
    <xf numFmtId="173" fontId="0" fillId="24" borderId="36" xfId="54" applyNumberFormat="1" applyFont="1" applyFill="1" applyBorder="1" applyAlignment="1" applyProtection="1">
      <alignment horizontal="right" vertical="center"/>
      <protection/>
    </xf>
    <xf numFmtId="0" fontId="0" fillId="0" borderId="25" xfId="54" applyFont="1" applyBorder="1" applyAlignment="1" applyProtection="1">
      <alignment horizontal="left" vertical="center"/>
      <protection/>
    </xf>
    <xf numFmtId="173" fontId="0" fillId="24" borderId="33" xfId="54" applyNumberFormat="1" applyFont="1" applyFill="1" applyBorder="1" applyAlignment="1" applyProtection="1">
      <alignment horizontal="right" vertical="center"/>
      <protection/>
    </xf>
    <xf numFmtId="0" fontId="0" fillId="0" borderId="25" xfId="54" applyFont="1" applyFill="1" applyBorder="1" applyAlignment="1" applyProtection="1">
      <alignment horizontal="left" vertical="center"/>
      <protection/>
    </xf>
    <xf numFmtId="3" fontId="1" fillId="0" borderId="0" xfId="54" applyNumberFormat="1" applyFont="1" applyBorder="1" applyAlignment="1" applyProtection="1">
      <alignment horizontal="center" vertical="center"/>
      <protection/>
    </xf>
    <xf numFmtId="2" fontId="1" fillId="0" borderId="0" xfId="54" applyNumberFormat="1" applyFont="1" applyBorder="1" applyAlignment="1" applyProtection="1">
      <alignment horizontal="centerContinuous" vertical="center"/>
      <protection/>
    </xf>
    <xf numFmtId="0" fontId="1" fillId="0" borderId="41" xfId="54" applyFont="1" applyBorder="1" applyAlignment="1" applyProtection="1">
      <alignment vertical="center"/>
      <protection/>
    </xf>
    <xf numFmtId="0" fontId="1" fillId="0" borderId="22" xfId="54" applyFont="1" applyBorder="1" applyAlignment="1" applyProtection="1">
      <alignment vertical="center"/>
      <protection/>
    </xf>
    <xf numFmtId="0" fontId="0" fillId="0" borderId="25" xfId="54" applyFont="1" applyBorder="1" applyAlignment="1" applyProtection="1">
      <alignment vertical="center"/>
      <protection/>
    </xf>
    <xf numFmtId="0" fontId="0" fillId="0" borderId="52" xfId="54" applyFont="1" applyBorder="1" applyAlignment="1" applyProtection="1">
      <alignment horizontal="left" vertical="center"/>
      <protection/>
    </xf>
    <xf numFmtId="0" fontId="0" fillId="0" borderId="43" xfId="54" applyFont="1" applyBorder="1" applyAlignment="1" applyProtection="1">
      <alignment horizontal="left" vertical="center"/>
      <protection/>
    </xf>
    <xf numFmtId="3" fontId="1" fillId="0" borderId="34" xfId="54" applyNumberFormat="1" applyFont="1" applyBorder="1" applyAlignment="1" applyProtection="1">
      <alignment horizontal="center" vertical="center"/>
      <protection/>
    </xf>
    <xf numFmtId="2" fontId="1" fillId="0" borderId="48" xfId="54" applyNumberFormat="1" applyFont="1" applyBorder="1" applyAlignment="1" applyProtection="1">
      <alignment horizontal="centerContinuous" vertical="center"/>
      <protection/>
    </xf>
    <xf numFmtId="0" fontId="0" fillId="24" borderId="25" xfId="54" applyFont="1" applyFill="1" applyBorder="1" applyAlignment="1" applyProtection="1">
      <alignment vertical="center"/>
      <protection/>
    </xf>
    <xf numFmtId="0" fontId="0" fillId="24" borderId="0" xfId="54" applyFont="1" applyFill="1" applyBorder="1" applyAlignment="1" applyProtection="1">
      <alignment vertical="center"/>
      <protection/>
    </xf>
    <xf numFmtId="0" fontId="0" fillId="24" borderId="52" xfId="54" applyFont="1" applyFill="1" applyBorder="1" applyAlignment="1" applyProtection="1">
      <alignment vertical="center"/>
      <protection/>
    </xf>
    <xf numFmtId="0" fontId="0" fillId="24" borderId="43" xfId="54" applyFont="1" applyFill="1" applyBorder="1" applyAlignment="1" applyProtection="1">
      <alignment vertical="center"/>
      <protection/>
    </xf>
    <xf numFmtId="0" fontId="9" fillId="20" borderId="25" xfId="54" applyFont="1" applyFill="1" applyBorder="1" applyAlignment="1" applyProtection="1">
      <alignment vertical="center"/>
      <protection/>
    </xf>
    <xf numFmtId="0" fontId="9" fillId="20" borderId="0" xfId="54" applyFont="1" applyFill="1" applyBorder="1" applyAlignment="1" applyProtection="1">
      <alignment vertical="center"/>
      <protection/>
    </xf>
    <xf numFmtId="3" fontId="0" fillId="20" borderId="14" xfId="54" applyNumberFormat="1" applyFont="1" applyFill="1" applyBorder="1" applyAlignment="1" applyProtection="1">
      <alignment horizontal="center" vertical="center"/>
      <protection/>
    </xf>
    <xf numFmtId="0" fontId="0" fillId="20" borderId="25" xfId="54" applyFont="1" applyFill="1" applyBorder="1" applyAlignment="1" applyProtection="1">
      <alignment vertical="center"/>
      <protection/>
    </xf>
    <xf numFmtId="0" fontId="0" fillId="20" borderId="0" xfId="54" applyFont="1" applyFill="1" applyBorder="1" applyAlignment="1" applyProtection="1">
      <alignment vertical="center"/>
      <protection/>
    </xf>
    <xf numFmtId="0" fontId="34" fillId="20" borderId="0" xfId="54" applyFont="1" applyFill="1" applyBorder="1" applyAlignment="1" applyProtection="1">
      <alignment vertical="center"/>
      <protection/>
    </xf>
    <xf numFmtId="0" fontId="1" fillId="0" borderId="53" xfId="54" applyFont="1" applyBorder="1" applyAlignment="1" applyProtection="1">
      <alignment vertical="center"/>
      <protection/>
    </xf>
    <xf numFmtId="0" fontId="0" fillId="20" borderId="39" xfId="54" applyFont="1" applyFill="1" applyBorder="1" applyAlignment="1" applyProtection="1">
      <alignment vertical="center"/>
      <protection/>
    </xf>
    <xf numFmtId="0" fontId="0" fillId="20" borderId="10" xfId="54" applyFont="1" applyFill="1" applyBorder="1" applyAlignment="1" applyProtection="1">
      <alignment vertical="center"/>
      <protection/>
    </xf>
    <xf numFmtId="3" fontId="0" fillId="20" borderId="13" xfId="54" applyNumberFormat="1" applyFont="1" applyFill="1" applyBorder="1" applyAlignment="1" applyProtection="1">
      <alignment horizontal="center" vertical="center"/>
      <protection/>
    </xf>
    <xf numFmtId="0" fontId="1" fillId="24" borderId="44" xfId="54" applyFont="1" applyFill="1" applyBorder="1" applyAlignment="1" applyProtection="1">
      <alignment vertical="center"/>
      <protection/>
    </xf>
    <xf numFmtId="173" fontId="0" fillId="24" borderId="54" xfId="54" applyNumberFormat="1" applyFont="1" applyFill="1" applyBorder="1" applyAlignment="1" applyProtection="1">
      <alignment horizontal="right" vertical="center"/>
      <protection/>
    </xf>
    <xf numFmtId="175" fontId="0" fillId="24" borderId="34" xfId="54" applyNumberFormat="1" applyFont="1" applyFill="1" applyBorder="1" applyAlignment="1" applyProtection="1">
      <alignment horizontal="right" vertical="center"/>
      <protection/>
    </xf>
    <xf numFmtId="0" fontId="1" fillId="24" borderId="10" xfId="54" applyFont="1" applyFill="1" applyBorder="1" applyAlignment="1" applyProtection="1">
      <alignment vertical="center"/>
      <protection/>
    </xf>
    <xf numFmtId="173" fontId="1" fillId="24" borderId="49" xfId="54" applyNumberFormat="1" applyFont="1" applyFill="1" applyBorder="1" applyAlignment="1" applyProtection="1">
      <alignment horizontal="right" vertical="center"/>
      <protection/>
    </xf>
    <xf numFmtId="0" fontId="0" fillId="20" borderId="39" xfId="54" applyFont="1" applyFill="1" applyBorder="1" applyAlignment="1" applyProtection="1">
      <alignment horizontal="center" vertical="center"/>
      <protection/>
    </xf>
    <xf numFmtId="0" fontId="0" fillId="20" borderId="10" xfId="54" applyFont="1" applyFill="1" applyBorder="1" applyAlignment="1" applyProtection="1">
      <alignment horizontal="center" vertical="center"/>
      <protection/>
    </xf>
    <xf numFmtId="175" fontId="1" fillId="24" borderId="38" xfId="54" applyNumberFormat="1" applyFont="1" applyFill="1" applyBorder="1" applyAlignment="1" applyProtection="1">
      <alignment horizontal="right" vertical="center"/>
      <protection/>
    </xf>
    <xf numFmtId="0" fontId="0" fillId="24" borderId="11" xfId="54" applyFont="1" applyFill="1" applyBorder="1" applyAlignment="1" applyProtection="1">
      <alignment vertical="center"/>
      <protection/>
    </xf>
    <xf numFmtId="0" fontId="1" fillId="24" borderId="11" xfId="54" applyFont="1" applyFill="1" applyBorder="1" applyAlignment="1" applyProtection="1">
      <alignment horizontal="centerContinuous" vertical="center"/>
      <protection/>
    </xf>
    <xf numFmtId="0" fontId="0" fillId="0" borderId="10" xfId="54" applyFont="1" applyBorder="1" applyAlignment="1" applyProtection="1">
      <alignment vertical="center"/>
      <protection/>
    </xf>
    <xf numFmtId="0" fontId="1" fillId="0" borderId="18" xfId="54" applyFont="1" applyFill="1" applyBorder="1" applyAlignment="1" applyProtection="1">
      <alignment horizontal="left" vertical="center"/>
      <protection/>
    </xf>
    <xf numFmtId="0" fontId="0" fillId="0" borderId="43" xfId="54" applyFont="1" applyFill="1" applyBorder="1" applyAlignment="1" applyProtection="1">
      <alignment horizontal="left" vertical="center"/>
      <protection/>
    </xf>
    <xf numFmtId="0" fontId="1" fillId="0" borderId="43" xfId="54" applyFont="1" applyFill="1" applyBorder="1" applyAlignment="1" applyProtection="1">
      <alignment horizontal="left" vertical="center"/>
      <protection/>
    </xf>
    <xf numFmtId="173" fontId="1" fillId="0" borderId="55" xfId="54" applyNumberFormat="1" applyFont="1" applyFill="1" applyBorder="1" applyAlignment="1" applyProtection="1">
      <alignment horizontal="right" vertical="center"/>
      <protection/>
    </xf>
    <xf numFmtId="175" fontId="1" fillId="0" borderId="52" xfId="54" applyNumberFormat="1" applyFont="1" applyFill="1" applyBorder="1" applyAlignment="1" applyProtection="1">
      <alignment horizontal="right" vertical="center"/>
      <protection/>
    </xf>
    <xf numFmtId="0" fontId="0" fillId="0" borderId="43" xfId="54" applyFont="1" applyFill="1" applyBorder="1" applyAlignment="1" applyProtection="1">
      <alignment vertical="center"/>
      <protection/>
    </xf>
    <xf numFmtId="0" fontId="1" fillId="0" borderId="52" xfId="54" applyFont="1" applyBorder="1" applyAlignment="1" applyProtection="1">
      <alignment horizontal="right" vertical="center"/>
      <protection/>
    </xf>
    <xf numFmtId="0" fontId="0" fillId="0" borderId="43" xfId="54" applyFont="1" applyBorder="1" applyAlignment="1" applyProtection="1">
      <alignment horizontal="center" vertical="center"/>
      <protection/>
    </xf>
    <xf numFmtId="0" fontId="0" fillId="0" borderId="35" xfId="54" applyFont="1" applyBorder="1" applyAlignment="1" applyProtection="1">
      <alignment horizontal="centerContinuous" vertical="center"/>
      <protection/>
    </xf>
    <xf numFmtId="0" fontId="0" fillId="0" borderId="56" xfId="54" applyFont="1" applyBorder="1" applyAlignment="1" applyProtection="1">
      <alignment vertical="center"/>
      <protection/>
    </xf>
    <xf numFmtId="173" fontId="0" fillId="0" borderId="57" xfId="54" applyNumberFormat="1" applyFont="1" applyBorder="1" applyAlignment="1" applyProtection="1">
      <alignment horizontal="right" vertical="center"/>
      <protection/>
    </xf>
    <xf numFmtId="0" fontId="0" fillId="0" borderId="58" xfId="54" applyFont="1" applyBorder="1" applyAlignment="1" applyProtection="1">
      <alignment horizontal="left" vertical="center"/>
      <protection/>
    </xf>
    <xf numFmtId="175" fontId="0" fillId="0" borderId="59" xfId="54" applyNumberFormat="1" applyFont="1" applyBorder="1" applyAlignment="1" applyProtection="1">
      <alignment horizontal="right" vertical="center"/>
      <protection/>
    </xf>
    <xf numFmtId="173" fontId="0" fillId="24" borderId="25" xfId="54" applyNumberFormat="1" applyFont="1" applyFill="1" applyBorder="1" applyAlignment="1" applyProtection="1">
      <alignment horizontal="right" vertical="center"/>
      <protection/>
    </xf>
    <xf numFmtId="175" fontId="0" fillId="24" borderId="25" xfId="54" applyNumberFormat="1" applyFont="1" applyFill="1" applyBorder="1" applyAlignment="1" applyProtection="1">
      <alignment horizontal="right" vertical="center"/>
      <protection/>
    </xf>
    <xf numFmtId="0" fontId="0" fillId="0" borderId="36" xfId="54" applyFont="1" applyBorder="1" applyAlignment="1" applyProtection="1">
      <alignment horizontal="center" vertical="center"/>
      <protection/>
    </xf>
    <xf numFmtId="0" fontId="0" fillId="0" borderId="20" xfId="54" applyFont="1" applyBorder="1" applyAlignment="1" applyProtection="1">
      <alignment horizontal="center" vertical="center"/>
      <protection/>
    </xf>
    <xf numFmtId="0" fontId="0" fillId="0" borderId="56" xfId="54" applyFont="1" applyBorder="1" applyAlignment="1" applyProtection="1">
      <alignment horizontal="left" vertical="center"/>
      <protection/>
    </xf>
    <xf numFmtId="0" fontId="0" fillId="0" borderId="56" xfId="54" applyFont="1" applyBorder="1" applyAlignment="1" applyProtection="1">
      <alignment horizontal="right" vertical="center"/>
      <protection/>
    </xf>
    <xf numFmtId="4" fontId="0" fillId="0" borderId="34" xfId="54" applyNumberFormat="1" applyFont="1" applyBorder="1" applyAlignment="1" applyProtection="1">
      <alignment horizontal="center" vertical="center"/>
      <protection/>
    </xf>
    <xf numFmtId="4" fontId="0" fillId="0" borderId="18" xfId="54" applyNumberFormat="1" applyFont="1" applyBorder="1" applyAlignment="1" applyProtection="1">
      <alignment horizontal="center" vertical="center"/>
      <protection/>
    </xf>
    <xf numFmtId="175" fontId="0" fillId="0" borderId="52" xfId="54" applyNumberFormat="1" applyFont="1" applyBorder="1" applyAlignment="1" applyProtection="1">
      <alignment horizontal="right" vertical="center"/>
      <protection/>
    </xf>
    <xf numFmtId="0" fontId="1" fillId="0" borderId="16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173" fontId="1" fillId="0" borderId="60" xfId="54" applyNumberFormat="1" applyFont="1" applyFill="1" applyBorder="1" applyAlignment="1" applyProtection="1">
      <alignment horizontal="right" vertical="center"/>
      <protection/>
    </xf>
    <xf numFmtId="175" fontId="1" fillId="0" borderId="25" xfId="54" applyNumberFormat="1" applyFont="1" applyFill="1" applyBorder="1" applyAlignment="1" applyProtection="1">
      <alignment horizontal="right" vertical="center"/>
      <protection/>
    </xf>
    <xf numFmtId="0" fontId="0" fillId="0" borderId="39" xfId="54" applyFont="1" applyBorder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left" vertical="center"/>
      <protection/>
    </xf>
    <xf numFmtId="0" fontId="0" fillId="0" borderId="22" xfId="54" applyFont="1" applyBorder="1" applyAlignment="1" applyProtection="1">
      <alignment vertical="center"/>
      <protection/>
    </xf>
    <xf numFmtId="173" fontId="0" fillId="0" borderId="48" xfId="54" applyNumberFormat="1" applyFont="1" applyBorder="1" applyAlignment="1" applyProtection="1">
      <alignment horizontal="right" vertical="center"/>
      <protection/>
    </xf>
    <xf numFmtId="175" fontId="0" fillId="0" borderId="41" xfId="54" applyNumberFormat="1" applyFont="1" applyBorder="1" applyAlignment="1" applyProtection="1">
      <alignment horizontal="right" vertical="center"/>
      <protection/>
    </xf>
    <xf numFmtId="0" fontId="8" fillId="0" borderId="0" xfId="54" applyFont="1" applyBorder="1" applyAlignment="1" applyProtection="1">
      <alignment vertical="center"/>
      <protection/>
    </xf>
    <xf numFmtId="0" fontId="8" fillId="0" borderId="15" xfId="54" applyFont="1" applyBorder="1" applyAlignment="1" applyProtection="1">
      <alignment horizontal="left" vertical="center"/>
      <protection/>
    </xf>
    <xf numFmtId="0" fontId="8" fillId="0" borderId="41" xfId="54" applyFont="1" applyBorder="1" applyAlignment="1" applyProtection="1">
      <alignment horizontal="left" vertical="center"/>
      <protection/>
    </xf>
    <xf numFmtId="0" fontId="8" fillId="0" borderId="30" xfId="54" applyFont="1" applyBorder="1" applyAlignment="1" applyProtection="1">
      <alignment horizontal="left" vertical="center"/>
      <protection/>
    </xf>
    <xf numFmtId="0" fontId="8" fillId="0" borderId="30" xfId="54" applyFont="1" applyFill="1" applyBorder="1" applyAlignment="1" applyProtection="1">
      <alignment horizontal="left" vertical="center"/>
      <protection/>
    </xf>
    <xf numFmtId="0" fontId="8" fillId="24" borderId="30" xfId="54" applyFont="1" applyFill="1" applyBorder="1" applyAlignment="1" applyProtection="1">
      <alignment horizontal="left" vertical="center"/>
      <protection/>
    </xf>
    <xf numFmtId="0" fontId="8" fillId="0" borderId="61" xfId="54" applyFont="1" applyBorder="1" applyAlignment="1" applyProtection="1">
      <alignment horizontal="left" vertical="center"/>
      <protection/>
    </xf>
    <xf numFmtId="0" fontId="8" fillId="24" borderId="61" xfId="54" applyFont="1" applyFill="1" applyBorder="1" applyAlignment="1" applyProtection="1">
      <alignment horizontal="left" vertical="center"/>
      <protection/>
    </xf>
    <xf numFmtId="0" fontId="8" fillId="0" borderId="17" xfId="54" applyFont="1" applyBorder="1" applyAlignment="1" applyProtection="1">
      <alignment horizontal="left" vertical="center"/>
      <protection/>
    </xf>
    <xf numFmtId="0" fontId="8" fillId="24" borderId="62" xfId="54" applyFont="1" applyFill="1" applyBorder="1" applyAlignment="1" applyProtection="1">
      <alignment horizontal="left" vertical="center"/>
      <protection/>
    </xf>
    <xf numFmtId="0" fontId="8" fillId="24" borderId="38" xfId="54" applyFont="1" applyFill="1" applyBorder="1" applyAlignment="1" applyProtection="1">
      <alignment horizontal="left" vertical="center"/>
      <protection/>
    </xf>
    <xf numFmtId="0" fontId="8" fillId="24" borderId="35" xfId="54" applyFont="1" applyFill="1" applyBorder="1" applyAlignment="1" applyProtection="1">
      <alignment horizontal="left" vertical="center"/>
      <protection/>
    </xf>
    <xf numFmtId="0" fontId="8" fillId="24" borderId="13" xfId="54" applyFont="1" applyFill="1" applyBorder="1" applyAlignment="1" applyProtection="1">
      <alignment horizontal="left" vertical="center"/>
      <protection/>
    </xf>
    <xf numFmtId="0" fontId="8" fillId="0" borderId="61" xfId="54" applyFont="1" applyBorder="1" applyAlignment="1" applyProtection="1">
      <alignment vertical="center"/>
      <protection/>
    </xf>
    <xf numFmtId="0" fontId="8" fillId="0" borderId="58" xfId="54" applyFont="1" applyBorder="1" applyAlignment="1" applyProtection="1">
      <alignment horizontal="left" vertical="center"/>
      <protection/>
    </xf>
    <xf numFmtId="0" fontId="8" fillId="24" borderId="15" xfId="54" applyFont="1" applyFill="1" applyBorder="1" applyAlignment="1" applyProtection="1">
      <alignment horizontal="left" vertical="center"/>
      <protection/>
    </xf>
    <xf numFmtId="0" fontId="8" fillId="24" borderId="63" xfId="54" applyFont="1" applyFill="1" applyBorder="1" applyAlignment="1" applyProtection="1">
      <alignment horizontal="left" vertical="center"/>
      <protection/>
    </xf>
    <xf numFmtId="0" fontId="8" fillId="24" borderId="49" xfId="54" applyFont="1" applyFill="1" applyBorder="1" applyAlignment="1" applyProtection="1">
      <alignment horizontal="left" vertical="center"/>
      <protection/>
    </xf>
    <xf numFmtId="0" fontId="8" fillId="0" borderId="64" xfId="54" applyFont="1" applyBorder="1" applyAlignment="1" applyProtection="1">
      <alignment vertical="center"/>
      <protection/>
    </xf>
    <xf numFmtId="0" fontId="8" fillId="24" borderId="30" xfId="54" applyFont="1" applyFill="1" applyBorder="1" applyAlignment="1" applyProtection="1">
      <alignment vertical="center"/>
      <protection/>
    </xf>
    <xf numFmtId="0" fontId="8" fillId="0" borderId="30" xfId="54" applyFont="1" applyFill="1" applyBorder="1" applyAlignment="1" applyProtection="1">
      <alignment vertical="center"/>
      <protection/>
    </xf>
    <xf numFmtId="0" fontId="8" fillId="24" borderId="65" xfId="54" applyFont="1" applyFill="1" applyBorder="1" applyAlignment="1" applyProtection="1">
      <alignment vertical="center"/>
      <protection/>
    </xf>
    <xf numFmtId="0" fontId="8" fillId="24" borderId="47" xfId="54" applyFont="1" applyFill="1" applyBorder="1" applyAlignment="1" applyProtection="1">
      <alignment vertical="center"/>
      <protection/>
    </xf>
    <xf numFmtId="0" fontId="8" fillId="0" borderId="48" xfId="54" applyFont="1" applyBorder="1" applyAlignment="1" applyProtection="1">
      <alignment vertical="center"/>
      <protection/>
    </xf>
    <xf numFmtId="0" fontId="8" fillId="0" borderId="66" xfId="54" applyFont="1" applyBorder="1" applyAlignment="1" applyProtection="1">
      <alignment horizontal="left" vertical="center"/>
      <protection/>
    </xf>
    <xf numFmtId="0" fontId="8" fillId="0" borderId="33" xfId="54" applyFont="1" applyBorder="1" applyAlignment="1" applyProtection="1">
      <alignment horizontal="left" vertical="center"/>
      <protection/>
    </xf>
    <xf numFmtId="0" fontId="8" fillId="0" borderId="67" xfId="54" applyFont="1" applyBorder="1" applyAlignment="1" applyProtection="1">
      <alignment horizontal="left" vertical="center"/>
      <protection/>
    </xf>
    <xf numFmtId="1" fontId="0" fillId="24" borderId="31" xfId="54" applyNumberFormat="1" applyFont="1" applyFill="1" applyBorder="1" applyAlignment="1" applyProtection="1">
      <alignment horizontal="center" vertical="center"/>
      <protection/>
    </xf>
    <xf numFmtId="0" fontId="22" fillId="24" borderId="11" xfId="54" applyFont="1" applyFill="1" applyBorder="1" applyAlignment="1" applyProtection="1">
      <alignment vertical="center"/>
      <protection/>
    </xf>
    <xf numFmtId="0" fontId="22" fillId="24" borderId="10" xfId="54" applyFont="1" applyFill="1" applyBorder="1" applyAlignment="1" applyProtection="1">
      <alignment vertical="center"/>
      <protection/>
    </xf>
    <xf numFmtId="0" fontId="19" fillId="24" borderId="0" xfId="54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1" fontId="1" fillId="24" borderId="0" xfId="54" applyNumberFormat="1" applyFont="1" applyFill="1" applyBorder="1" applyAlignment="1" applyProtection="1">
      <alignment horizontal="center" vertical="center"/>
      <protection/>
    </xf>
    <xf numFmtId="0" fontId="8" fillId="0" borderId="14" xfId="54" applyFont="1" applyBorder="1" applyAlignment="1" applyProtection="1">
      <alignment vertical="center"/>
      <protection/>
    </xf>
    <xf numFmtId="0" fontId="0" fillId="0" borderId="44" xfId="54" applyFont="1" applyBorder="1" applyAlignment="1" applyProtection="1">
      <alignment vertical="center"/>
      <protection/>
    </xf>
    <xf numFmtId="0" fontId="8" fillId="0" borderId="12" xfId="54" applyFont="1" applyBorder="1" applyAlignment="1" applyProtection="1">
      <alignment horizontal="left" vertical="center"/>
      <protection/>
    </xf>
    <xf numFmtId="0" fontId="0" fillId="0" borderId="10" xfId="54" applyFont="1" applyFill="1" applyBorder="1" applyAlignment="1" applyProtection="1">
      <alignment vertical="center"/>
      <protection/>
    </xf>
    <xf numFmtId="0" fontId="8" fillId="0" borderId="10" xfId="54" applyFont="1" applyBorder="1" applyAlignment="1" applyProtection="1">
      <alignment vertical="center"/>
      <protection/>
    </xf>
    <xf numFmtId="0" fontId="0" fillId="0" borderId="26" xfId="54" applyFont="1" applyBorder="1" applyAlignment="1" applyProtection="1">
      <alignment horizontal="left" vertical="center"/>
      <protection/>
    </xf>
    <xf numFmtId="0" fontId="0" fillId="24" borderId="54" xfId="54" applyFont="1" applyFill="1" applyBorder="1" applyAlignment="1" applyProtection="1">
      <alignment horizontal="left" vertical="center"/>
      <protection/>
    </xf>
    <xf numFmtId="173" fontId="1" fillId="24" borderId="33" xfId="54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vertical="center"/>
      <protection/>
    </xf>
    <xf numFmtId="3" fontId="0" fillId="24" borderId="17" xfId="0" applyNumberFormat="1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3" fontId="0" fillId="24" borderId="18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0" fontId="1" fillId="24" borderId="15" xfId="0" applyFont="1" applyFill="1" applyBorder="1" applyAlignment="1" applyProtection="1">
      <alignment horizontal="center" vertical="center"/>
      <protection/>
    </xf>
    <xf numFmtId="3" fontId="1" fillId="24" borderId="0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3" fontId="0" fillId="24" borderId="17" xfId="0" applyNumberFormat="1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9" xfId="0" applyFont="1" applyFill="1" applyBorder="1" applyAlignment="1" applyProtection="1">
      <alignment horizontal="centerContinuous" vertical="center"/>
      <protection/>
    </xf>
    <xf numFmtId="0" fontId="0" fillId="24" borderId="20" xfId="0" applyFont="1" applyFill="1" applyBorder="1" applyAlignment="1" applyProtection="1">
      <alignment horizontal="centerContinuous" vertical="center"/>
      <protection/>
    </xf>
    <xf numFmtId="3" fontId="0" fillId="24" borderId="15" xfId="0" applyNumberFormat="1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178" fontId="18" fillId="0" borderId="0" xfId="47" applyNumberFormat="1" applyFont="1" applyFill="1" applyBorder="1" applyAlignment="1" applyProtection="1">
      <alignment horizontal="right" vertical="center"/>
      <protection/>
    </xf>
    <xf numFmtId="0" fontId="20" fillId="0" borderId="15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right"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78" fontId="11" fillId="24" borderId="0" xfId="47" applyNumberFormat="1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vertical="center"/>
      <protection/>
    </xf>
    <xf numFmtId="1" fontId="11" fillId="24" borderId="0" xfId="0" applyNumberFormat="1" applyFont="1" applyFill="1" applyBorder="1" applyAlignment="1" applyProtection="1">
      <alignment horizontal="center" vertical="center"/>
      <protection/>
    </xf>
    <xf numFmtId="178" fontId="5" fillId="24" borderId="0" xfId="47" applyNumberFormat="1" applyFont="1" applyFill="1" applyBorder="1" applyAlignment="1" applyProtection="1">
      <alignment horizontal="right" vertical="center"/>
      <protection/>
    </xf>
    <xf numFmtId="178" fontId="10" fillId="24" borderId="0" xfId="47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/>
    </xf>
    <xf numFmtId="178" fontId="10" fillId="0" borderId="0" xfId="47" applyNumberFormat="1" applyFont="1" applyFill="1" applyBorder="1" applyAlignment="1" applyProtection="1">
      <alignment horizontal="right" vertical="center"/>
      <protection/>
    </xf>
    <xf numFmtId="178" fontId="4" fillId="24" borderId="0" xfId="47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24" borderId="0" xfId="0" applyNumberFormat="1" applyFont="1" applyFill="1" applyBorder="1" applyAlignment="1" applyProtection="1">
      <alignment horizontal="right" vertical="center"/>
      <protection/>
    </xf>
    <xf numFmtId="0" fontId="11" fillId="24" borderId="43" xfId="0" applyFont="1" applyFill="1" applyBorder="1" applyAlignment="1" applyProtection="1">
      <alignment horizontal="center" vertical="center"/>
      <protection/>
    </xf>
    <xf numFmtId="0" fontId="11" fillId="24" borderId="4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1" fillId="24" borderId="12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0" fillId="25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 wrapText="1"/>
      <protection/>
    </xf>
    <xf numFmtId="0" fontId="1" fillId="0" borderId="43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19" fillId="0" borderId="40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9" fillId="0" borderId="69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right" vertical="center"/>
      <protection/>
    </xf>
    <xf numFmtId="0" fontId="0" fillId="0" borderId="0" xfId="54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7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vertical="center"/>
      <protection/>
    </xf>
    <xf numFmtId="0" fontId="11" fillId="0" borderId="72" xfId="0" applyFont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24" borderId="0" xfId="0" applyFont="1" applyFill="1" applyAlignment="1" applyProtection="1">
      <alignment vertical="center"/>
      <protection/>
    </xf>
    <xf numFmtId="173" fontId="8" fillId="0" borderId="0" xfId="0" applyNumberFormat="1" applyFont="1" applyAlignment="1" applyProtection="1">
      <alignment vertical="center"/>
      <protection/>
    </xf>
    <xf numFmtId="173" fontId="8" fillId="0" borderId="56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56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173" fontId="26" fillId="0" borderId="56" xfId="0" applyNumberFormat="1" applyFont="1" applyBorder="1" applyAlignment="1" applyProtection="1">
      <alignment vertical="center"/>
      <protection/>
    </xf>
    <xf numFmtId="174" fontId="0" fillId="24" borderId="33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vertical="center"/>
      <protection/>
    </xf>
    <xf numFmtId="173" fontId="0" fillId="21" borderId="17" xfId="42" applyNumberFormat="1" applyFont="1" applyFill="1" applyBorder="1" applyAlignment="1" applyProtection="1">
      <alignment horizontal="right" vertical="center"/>
      <protection locked="0"/>
    </xf>
    <xf numFmtId="173" fontId="0" fillId="21" borderId="41" xfId="42" applyNumberFormat="1" applyFont="1" applyFill="1" applyBorder="1" applyAlignment="1" applyProtection="1">
      <alignment horizontal="right" vertical="center"/>
      <protection locked="0"/>
    </xf>
    <xf numFmtId="173" fontId="0" fillId="24" borderId="41" xfId="42" applyNumberFormat="1" applyFont="1" applyFill="1" applyBorder="1" applyAlignment="1" applyProtection="1">
      <alignment horizontal="right" vertical="center"/>
      <protection/>
    </xf>
    <xf numFmtId="3" fontId="1" fillId="21" borderId="48" xfId="0" applyNumberFormat="1" applyFont="1" applyFill="1" applyBorder="1" applyAlignment="1" applyProtection="1">
      <alignment horizontal="center" vertical="center"/>
      <protection locked="0"/>
    </xf>
    <xf numFmtId="0" fontId="1" fillId="21" borderId="48" xfId="0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vertical="center"/>
      <protection/>
    </xf>
    <xf numFmtId="4" fontId="1" fillId="21" borderId="48" xfId="0" applyNumberFormat="1" applyFont="1" applyFill="1" applyBorder="1" applyAlignment="1" applyProtection="1">
      <alignment horizontal="center" vertical="center"/>
      <protection locked="0"/>
    </xf>
    <xf numFmtId="2" fontId="1" fillId="21" borderId="48" xfId="0" applyNumberFormat="1" applyFont="1" applyFill="1" applyBorder="1" applyAlignment="1" applyProtection="1">
      <alignment horizontal="center" vertical="center"/>
      <protection locked="0"/>
    </xf>
    <xf numFmtId="1" fontId="1" fillId="21" borderId="48" xfId="0" applyNumberFormat="1" applyFont="1" applyFill="1" applyBorder="1" applyAlignment="1" applyProtection="1">
      <alignment horizontal="center" vertical="center"/>
      <protection locked="0"/>
    </xf>
    <xf numFmtId="175" fontId="1" fillId="21" borderId="48" xfId="0" applyNumberFormat="1" applyFont="1" applyFill="1" applyBorder="1" applyAlignment="1" applyProtection="1">
      <alignment horizontal="right" vertical="center"/>
      <protection locked="0"/>
    </xf>
    <xf numFmtId="174" fontId="1" fillId="21" borderId="33" xfId="54" applyNumberFormat="1" applyFont="1" applyFill="1" applyBorder="1" applyAlignment="1" applyProtection="1">
      <alignment horizontal="right" vertical="center"/>
      <protection locked="0"/>
    </xf>
    <xf numFmtId="173" fontId="1" fillId="21" borderId="38" xfId="54" applyNumberFormat="1" applyFont="1" applyFill="1" applyBorder="1" applyAlignment="1" applyProtection="1">
      <alignment horizontal="right" vertical="center"/>
      <protection locked="0"/>
    </xf>
    <xf numFmtId="174" fontId="1" fillId="21" borderId="28" xfId="54" applyNumberFormat="1" applyFont="1" applyFill="1" applyBorder="1" applyAlignment="1" applyProtection="1">
      <alignment horizontal="right" vertical="center"/>
      <protection locked="0"/>
    </xf>
    <xf numFmtId="173" fontId="0" fillId="21" borderId="33" xfId="54" applyNumberFormat="1" applyFont="1" applyFill="1" applyBorder="1" applyAlignment="1" applyProtection="1">
      <alignment horizontal="right" vertical="center"/>
      <protection locked="0"/>
    </xf>
    <xf numFmtId="174" fontId="0" fillId="21" borderId="33" xfId="54" applyNumberFormat="1" applyFont="1" applyFill="1" applyBorder="1" applyAlignment="1" applyProtection="1">
      <alignment horizontal="right" vertical="center"/>
      <protection locked="0"/>
    </xf>
    <xf numFmtId="173" fontId="1" fillId="21" borderId="33" xfId="54" applyNumberFormat="1" applyFont="1" applyFill="1" applyBorder="1" applyAlignment="1" applyProtection="1">
      <alignment horizontal="right" vertical="center"/>
      <protection locked="0"/>
    </xf>
    <xf numFmtId="175" fontId="0" fillId="21" borderId="34" xfId="54" applyNumberFormat="1" applyFont="1" applyFill="1" applyBorder="1" applyAlignment="1" applyProtection="1">
      <alignment horizontal="right" vertical="center"/>
      <protection locked="0"/>
    </xf>
    <xf numFmtId="173" fontId="0" fillId="21" borderId="34" xfId="54" applyNumberFormat="1" applyFont="1" applyFill="1" applyBorder="1" applyAlignment="1" applyProtection="1">
      <alignment horizontal="right" vertical="center"/>
      <protection locked="0"/>
    </xf>
    <xf numFmtId="0" fontId="0" fillId="21" borderId="66" xfId="54" applyFont="1" applyFill="1" applyBorder="1" applyAlignment="1" applyProtection="1">
      <alignment horizontal="center" vertical="center"/>
      <protection locked="0"/>
    </xf>
    <xf numFmtId="0" fontId="0" fillId="21" borderId="67" xfId="54" applyFont="1" applyFill="1" applyBorder="1" applyAlignment="1" applyProtection="1">
      <alignment horizontal="center" vertical="center"/>
      <protection locked="0"/>
    </xf>
    <xf numFmtId="173" fontId="0" fillId="21" borderId="55" xfId="54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1" fillId="20" borderId="36" xfId="0" applyFont="1" applyFill="1" applyBorder="1" applyAlignment="1" applyProtection="1">
      <alignment horizontal="center" vertical="center"/>
      <protection/>
    </xf>
    <xf numFmtId="0" fontId="11" fillId="20" borderId="3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3" fillId="24" borderId="0" xfId="0" applyFont="1" applyFill="1" applyAlignment="1" applyProtection="1">
      <alignment horizontal="left" vertical="center"/>
      <protection/>
    </xf>
    <xf numFmtId="0" fontId="0" fillId="24" borderId="0" xfId="0" applyFill="1" applyAlignment="1" applyProtection="1">
      <alignment vertical="center"/>
      <protection/>
    </xf>
    <xf numFmtId="0" fontId="17" fillId="24" borderId="0" xfId="0" applyFont="1" applyFill="1" applyAlignment="1" applyProtection="1">
      <alignment vertical="center"/>
      <protection/>
    </xf>
    <xf numFmtId="0" fontId="18" fillId="24" borderId="0" xfId="0" applyFont="1" applyFill="1" applyAlignment="1" applyProtection="1">
      <alignment horizontal="righ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0" fillId="0" borderId="73" xfId="0" applyFont="1" applyBorder="1" applyAlignment="1" applyProtection="1">
      <alignment vertical="center"/>
      <protection/>
    </xf>
    <xf numFmtId="0" fontId="0" fillId="20" borderId="25" xfId="0" applyFont="1" applyFill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0" fillId="0" borderId="56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173" fontId="0" fillId="24" borderId="57" xfId="54" applyNumberFormat="1" applyFont="1" applyFill="1" applyBorder="1" applyAlignment="1" applyProtection="1">
      <alignment horizontal="right" vertical="center"/>
      <protection/>
    </xf>
    <xf numFmtId="0" fontId="1" fillId="0" borderId="48" xfId="0" applyFont="1" applyBorder="1" applyAlignment="1" applyProtection="1">
      <alignment vertical="center"/>
      <protection locked="0"/>
    </xf>
    <xf numFmtId="0" fontId="22" fillId="24" borderId="24" xfId="54" applyFont="1" applyFill="1" applyBorder="1" applyAlignment="1" applyProtection="1">
      <alignment vertical="center"/>
      <protection/>
    </xf>
    <xf numFmtId="0" fontId="0" fillId="24" borderId="26" xfId="54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42" applyNumberFormat="1" applyFont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right" vertical="center"/>
      <protection/>
    </xf>
    <xf numFmtId="0" fontId="0" fillId="0" borderId="56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vertical="center"/>
      <protection/>
    </xf>
    <xf numFmtId="3" fontId="0" fillId="0" borderId="56" xfId="0" applyNumberFormat="1" applyFont="1" applyBorder="1" applyAlignment="1" applyProtection="1">
      <alignment vertical="center"/>
      <protection/>
    </xf>
    <xf numFmtId="3" fontId="18" fillId="0" borderId="56" xfId="0" applyNumberFormat="1" applyFont="1" applyBorder="1" applyAlignment="1" applyProtection="1">
      <alignment horizontal="right" vertical="center"/>
      <protection/>
    </xf>
    <xf numFmtId="3" fontId="18" fillId="0" borderId="56" xfId="42" applyNumberFormat="1" applyFont="1" applyBorder="1" applyAlignment="1" applyProtection="1">
      <alignment horizontal="left" vertical="center"/>
      <protection/>
    </xf>
    <xf numFmtId="169" fontId="0" fillId="0" borderId="56" xfId="0" applyNumberFormat="1" applyFont="1" applyBorder="1" applyAlignment="1" applyProtection="1">
      <alignment horizontal="right" vertical="center"/>
      <protection/>
    </xf>
    <xf numFmtId="3" fontId="0" fillId="0" borderId="56" xfId="42" applyNumberFormat="1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3" fontId="1" fillId="0" borderId="22" xfId="0" applyNumberFormat="1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81" fontId="18" fillId="24" borderId="0" xfId="0" applyNumberFormat="1" applyFont="1" applyFill="1" applyAlignment="1" applyProtection="1">
      <alignment vertical="center"/>
      <protection/>
    </xf>
    <xf numFmtId="1" fontId="26" fillId="24" borderId="43" xfId="5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24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43" xfId="54" applyFont="1" applyBorder="1" applyAlignment="1" applyProtection="1">
      <alignment vertical="center"/>
      <protection/>
    </xf>
    <xf numFmtId="0" fontId="7" fillId="26" borderId="43" xfId="0" applyFont="1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3" fontId="0" fillId="0" borderId="74" xfId="0" applyNumberFormat="1" applyFont="1" applyBorder="1" applyAlignment="1" applyProtection="1">
      <alignment horizontal="center" vertical="center"/>
      <protection/>
    </xf>
    <xf numFmtId="178" fontId="47" fillId="0" borderId="0" xfId="47" applyNumberFormat="1" applyFont="1" applyFill="1" applyBorder="1" applyAlignment="1" applyProtection="1">
      <alignment horizontal="left" vertical="center"/>
      <protection/>
    </xf>
    <xf numFmtId="178" fontId="5" fillId="0" borderId="0" xfId="47" applyNumberFormat="1" applyFont="1" applyFill="1" applyBorder="1" applyAlignment="1" applyProtection="1">
      <alignment horizontal="right" vertical="center"/>
      <protection/>
    </xf>
    <xf numFmtId="0" fontId="48" fillId="0" borderId="44" xfId="0" applyFont="1" applyBorder="1" applyAlignment="1" applyProtection="1">
      <alignment vertical="center"/>
      <protection/>
    </xf>
    <xf numFmtId="0" fontId="8" fillId="0" borderId="0" xfId="54" applyFont="1" applyAlignment="1" applyProtection="1">
      <alignment vertical="center"/>
      <protection/>
    </xf>
    <xf numFmtId="0" fontId="0" fillId="0" borderId="39" xfId="54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8" fillId="0" borderId="13" xfId="54" applyFont="1" applyFill="1" applyBorder="1" applyAlignment="1" applyProtection="1">
      <alignment vertical="center"/>
      <protection/>
    </xf>
    <xf numFmtId="175" fontId="1" fillId="0" borderId="38" xfId="54" applyNumberFormat="1" applyFont="1" applyFill="1" applyBorder="1" applyAlignment="1" applyProtection="1">
      <alignment horizontal="right" vertical="center"/>
      <protection/>
    </xf>
    <xf numFmtId="0" fontId="52" fillId="4" borderId="0" xfId="0" applyFont="1" applyFill="1" applyBorder="1" applyAlignment="1" applyProtection="1">
      <alignment horizontal="centerContinuous" vertical="center"/>
      <protection/>
    </xf>
    <xf numFmtId="0" fontId="51" fillId="4" borderId="0" xfId="0" applyFont="1" applyFill="1" applyBorder="1" applyAlignment="1" applyProtection="1">
      <alignment horizontal="centerContinuous" vertical="center"/>
      <protection/>
    </xf>
    <xf numFmtId="0" fontId="51" fillId="4" borderId="0" xfId="0" applyFont="1" applyFill="1" applyBorder="1" applyAlignment="1" applyProtection="1">
      <alignment horizontal="centerContinuous" vertical="center" wrapText="1"/>
      <protection/>
    </xf>
    <xf numFmtId="0" fontId="10" fillId="4" borderId="0" xfId="0" applyFont="1" applyFill="1" applyBorder="1" applyAlignment="1" applyProtection="1">
      <alignment horizontal="centerContinuous" vertical="center"/>
      <protection/>
    </xf>
    <xf numFmtId="0" fontId="4" fillId="4" borderId="0" xfId="0" applyFont="1" applyFill="1" applyBorder="1" applyAlignment="1" applyProtection="1">
      <alignment horizontal="centerContinuous" vertical="center"/>
      <protection/>
    </xf>
    <xf numFmtId="17" fontId="10" fillId="4" borderId="0" xfId="0" applyNumberFormat="1" applyFont="1" applyFill="1" applyBorder="1" applyAlignment="1" applyProtection="1">
      <alignment horizontal="centerContinuous" vertical="center"/>
      <protection/>
    </xf>
    <xf numFmtId="0" fontId="51" fillId="4" borderId="0" xfId="0" applyFont="1" applyFill="1" applyBorder="1" applyAlignment="1" applyProtection="1">
      <alignment vertical="center"/>
      <protection/>
    </xf>
    <xf numFmtId="0" fontId="4" fillId="4" borderId="0" xfId="0" applyFont="1" applyFill="1" applyBorder="1" applyAlignment="1" applyProtection="1">
      <alignment horizontal="centerContinuous" vertical="center" wrapText="1"/>
      <protection/>
    </xf>
    <xf numFmtId="0" fontId="11" fillId="0" borderId="48" xfId="0" applyFont="1" applyFill="1" applyBorder="1" applyAlignment="1" applyProtection="1">
      <alignment horizontal="center" vertical="center" wrapText="1"/>
      <protection/>
    </xf>
    <xf numFmtId="49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0" fontId="0" fillId="4" borderId="0" xfId="0" applyFont="1" applyFill="1" applyBorder="1" applyAlignment="1" applyProtection="1">
      <alignment horizontal="centerContinuous" vertical="center" wrapText="1"/>
      <protection/>
    </xf>
    <xf numFmtId="0" fontId="0" fillId="4" borderId="0" xfId="0" applyFont="1" applyFill="1" applyBorder="1" applyAlignment="1" applyProtection="1">
      <alignment vertical="center" wrapText="1"/>
      <protection/>
    </xf>
    <xf numFmtId="0" fontId="10" fillId="4" borderId="0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horizontal="right" vertical="center"/>
      <protection/>
    </xf>
    <xf numFmtId="0" fontId="18" fillId="0" borderId="43" xfId="0" applyFont="1" applyBorder="1" applyAlignment="1" applyProtection="1">
      <alignment horizontal="right"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17" fillId="0" borderId="43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18" fillId="21" borderId="19" xfId="0" applyFont="1" applyFill="1" applyBorder="1" applyAlignment="1">
      <alignment vertical="center"/>
    </xf>
    <xf numFmtId="0" fontId="5" fillId="21" borderId="40" xfId="0" applyFont="1" applyFill="1" applyBorder="1" applyAlignment="1" applyProtection="1">
      <alignment vertical="center"/>
      <protection/>
    </xf>
    <xf numFmtId="0" fontId="17" fillId="21" borderId="20" xfId="0" applyFont="1" applyFill="1" applyBorder="1" applyAlignment="1" applyProtection="1">
      <alignment vertical="center"/>
      <protection/>
    </xf>
    <xf numFmtId="0" fontId="18" fillId="21" borderId="15" xfId="0" applyFont="1" applyFill="1" applyBorder="1" applyAlignment="1">
      <alignment vertical="center"/>
    </xf>
    <xf numFmtId="0" fontId="5" fillId="21" borderId="0" xfId="0" applyFont="1" applyFill="1" applyBorder="1" applyAlignment="1" applyProtection="1">
      <alignment vertical="center"/>
      <protection/>
    </xf>
    <xf numFmtId="0" fontId="17" fillId="21" borderId="16" xfId="0" applyFont="1" applyFill="1" applyBorder="1" applyAlignment="1" applyProtection="1">
      <alignment vertical="center"/>
      <protection/>
    </xf>
    <xf numFmtId="0" fontId="11" fillId="21" borderId="15" xfId="0" applyFont="1" applyFill="1" applyBorder="1" applyAlignment="1">
      <alignment vertical="center"/>
    </xf>
    <xf numFmtId="0" fontId="18" fillId="21" borderId="17" xfId="0" applyFont="1" applyFill="1" applyBorder="1" applyAlignment="1">
      <alignment vertical="center"/>
    </xf>
    <xf numFmtId="0" fontId="5" fillId="21" borderId="43" xfId="0" applyFont="1" applyFill="1" applyBorder="1" applyAlignment="1" applyProtection="1">
      <alignment vertical="center"/>
      <protection/>
    </xf>
    <xf numFmtId="0" fontId="17" fillId="21" borderId="18" xfId="0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25" fillId="0" borderId="25" xfId="0" applyFont="1" applyFill="1" applyBorder="1" applyAlignment="1">
      <alignment shrinkToFi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Fill="1" applyBorder="1" applyAlignment="1" applyProtection="1">
      <alignment/>
      <protection/>
    </xf>
    <xf numFmtId="0" fontId="25" fillId="0" borderId="25" xfId="0" applyFont="1" applyBorder="1" applyAlignment="1">
      <alignment shrinkToFit="1"/>
    </xf>
    <xf numFmtId="0" fontId="25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75" xfId="0" applyBorder="1" applyAlignment="1">
      <alignment/>
    </xf>
    <xf numFmtId="0" fontId="7" fillId="4" borderId="22" xfId="0" applyFont="1" applyFill="1" applyBorder="1" applyAlignment="1">
      <alignment/>
    </xf>
    <xf numFmtId="0" fontId="27" fillId="4" borderId="22" xfId="0" applyFont="1" applyFill="1" applyBorder="1" applyAlignment="1">
      <alignment horizontal="left"/>
    </xf>
    <xf numFmtId="0" fontId="25" fillId="4" borderId="76" xfId="0" applyFont="1" applyFill="1" applyBorder="1" applyAlignment="1">
      <alignment horizontal="right"/>
    </xf>
    <xf numFmtId="0" fontId="25" fillId="0" borderId="0" xfId="0" applyFont="1" applyBorder="1" applyAlignment="1">
      <alignment/>
    </xf>
    <xf numFmtId="0" fontId="26" fillId="0" borderId="19" xfId="0" applyFont="1" applyBorder="1" applyAlignment="1" applyProtection="1">
      <alignment horizontal="center" wrapText="1"/>
      <protection/>
    </xf>
    <xf numFmtId="0" fontId="8" fillId="0" borderId="77" xfId="0" applyFont="1" applyBorder="1" applyAlignment="1" applyProtection="1">
      <alignment horizontal="center" wrapText="1"/>
      <protection/>
    </xf>
    <xf numFmtId="0" fontId="8" fillId="0" borderId="78" xfId="0" applyFont="1" applyBorder="1" applyAlignment="1" applyProtection="1">
      <alignment horizontal="center" wrapText="1"/>
      <protection/>
    </xf>
    <xf numFmtId="0" fontId="26" fillId="0" borderId="20" xfId="0" applyFont="1" applyBorder="1" applyAlignment="1" applyProtection="1">
      <alignment horizontal="center" wrapText="1"/>
      <protection/>
    </xf>
    <xf numFmtId="0" fontId="25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26" fillId="0" borderId="79" xfId="0" applyFont="1" applyBorder="1" applyAlignment="1" applyProtection="1">
      <alignment horizontal="centerContinuous" wrapText="1"/>
      <protection/>
    </xf>
    <xf numFmtId="0" fontId="8" fillId="0" borderId="80" xfId="0" applyFont="1" applyBorder="1" applyAlignment="1" applyProtection="1">
      <alignment horizontal="center" wrapText="1"/>
      <protection/>
    </xf>
    <xf numFmtId="0" fontId="8" fillId="0" borderId="81" xfId="0" applyFont="1" applyBorder="1" applyAlignment="1" applyProtection="1">
      <alignment horizontal="center" wrapText="1"/>
      <protection/>
    </xf>
    <xf numFmtId="0" fontId="26" fillId="0" borderId="16" xfId="0" applyFont="1" applyBorder="1" applyAlignment="1" applyProtection="1">
      <alignment horizontal="center" wrapText="1"/>
      <protection/>
    </xf>
    <xf numFmtId="3" fontId="25" fillId="0" borderId="82" xfId="0" applyNumberFormat="1" applyFont="1" applyFill="1" applyBorder="1" applyAlignment="1" applyProtection="1">
      <alignment horizontal="center"/>
      <protection/>
    </xf>
    <xf numFmtId="0" fontId="26" fillId="0" borderId="79" xfId="0" applyFont="1" applyBorder="1" applyAlignment="1" applyProtection="1">
      <alignment horizontal="center" wrapText="1"/>
      <protection/>
    </xf>
    <xf numFmtId="0" fontId="27" fillId="0" borderId="80" xfId="0" applyFont="1" applyBorder="1" applyAlignment="1" applyProtection="1">
      <alignment horizontal="center" wrapText="1"/>
      <protection/>
    </xf>
    <xf numFmtId="3" fontId="25" fillId="0" borderId="80" xfId="0" applyNumberFormat="1" applyFont="1" applyFill="1" applyBorder="1" applyAlignment="1" applyProtection="1">
      <alignment horizontal="center"/>
      <protection/>
    </xf>
    <xf numFmtId="9" fontId="8" fillId="0" borderId="80" xfId="52" applyFont="1" applyBorder="1" applyAlignment="1" applyProtection="1">
      <alignment horizontal="center" wrapText="1"/>
      <protection/>
    </xf>
    <xf numFmtId="3" fontId="0" fillId="0" borderId="83" xfId="0" applyNumberFormat="1" applyFont="1" applyBorder="1" applyAlignment="1" applyProtection="1">
      <alignment horizontal="center"/>
      <protection/>
    </xf>
    <xf numFmtId="3" fontId="0" fillId="0" borderId="84" xfId="0" applyNumberFormat="1" applyFont="1" applyBorder="1" applyAlignment="1" applyProtection="1">
      <alignment horizontal="center"/>
      <protection/>
    </xf>
    <xf numFmtId="49" fontId="0" fillId="0" borderId="85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>
      <alignment horizontal="center"/>
      <protection/>
    </xf>
    <xf numFmtId="0" fontId="75" fillId="0" borderId="0" xfId="0" applyFont="1" applyAlignment="1">
      <alignment horizontal="left"/>
    </xf>
    <xf numFmtId="0" fontId="74" fillId="0" borderId="16" xfId="0" applyFont="1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0" fillId="0" borderId="0" xfId="0" applyFill="1" applyAlignment="1">
      <alignment/>
    </xf>
    <xf numFmtId="0" fontId="25" fillId="0" borderId="25" xfId="0" applyFont="1" applyFill="1" applyBorder="1" applyAlignment="1">
      <alignment shrinkToFit="1"/>
    </xf>
    <xf numFmtId="0" fontId="1" fillId="4" borderId="41" xfId="0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0" fontId="77" fillId="4" borderId="22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25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0" fillId="0" borderId="48" xfId="0" applyFill="1" applyBorder="1" applyAlignment="1">
      <alignment/>
    </xf>
    <xf numFmtId="0" fontId="78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6" fillId="0" borderId="15" xfId="0" applyFont="1" applyBorder="1" applyAlignment="1" applyProtection="1">
      <alignment/>
      <protection/>
    </xf>
    <xf numFmtId="3" fontId="8" fillId="22" borderId="80" xfId="0" applyNumberFormat="1" applyFont="1" applyFill="1" applyBorder="1" applyAlignment="1" applyProtection="1">
      <alignment horizontal="right" shrinkToFit="1"/>
      <protection locked="0"/>
    </xf>
    <xf numFmtId="186" fontId="8" fillId="22" borderId="86" xfId="0" applyNumberFormat="1" applyFont="1" applyFill="1" applyBorder="1" applyAlignment="1" applyProtection="1">
      <alignment shrinkToFit="1"/>
      <protection locked="0"/>
    </xf>
    <xf numFmtId="186" fontId="8" fillId="0" borderId="80" xfId="0" applyNumberFormat="1" applyFont="1" applyFill="1" applyBorder="1" applyAlignment="1" applyProtection="1">
      <alignment shrinkToFit="1"/>
      <protection/>
    </xf>
    <xf numFmtId="186" fontId="8" fillId="0" borderId="86" xfId="0" applyNumberFormat="1" applyFont="1" applyFill="1" applyBorder="1" applyAlignment="1" applyProtection="1">
      <alignment shrinkToFit="1"/>
      <protection/>
    </xf>
    <xf numFmtId="0" fontId="1" fillId="22" borderId="87" xfId="0" applyFont="1" applyFill="1" applyBorder="1" applyAlignment="1" applyProtection="1">
      <alignment horizontal="center"/>
      <protection locked="0"/>
    </xf>
    <xf numFmtId="191" fontId="0" fillId="0" borderId="48" xfId="0" applyNumberFormat="1" applyFill="1" applyBorder="1" applyAlignment="1">
      <alignment/>
    </xf>
    <xf numFmtId="0" fontId="8" fillId="0" borderId="15" xfId="0" applyFont="1" applyBorder="1" applyAlignment="1" applyProtection="1">
      <alignment/>
      <protection/>
    </xf>
    <xf numFmtId="186" fontId="8" fillId="0" borderId="86" xfId="0" applyNumberFormat="1" applyFont="1" applyBorder="1" applyAlignment="1" applyProtection="1">
      <alignment shrinkToFit="1"/>
      <protection/>
    </xf>
    <xf numFmtId="3" fontId="8" fillId="22" borderId="88" xfId="0" applyNumberFormat="1" applyFont="1" applyFill="1" applyBorder="1" applyAlignment="1" applyProtection="1">
      <alignment horizontal="right" shrinkToFit="1"/>
      <protection locked="0"/>
    </xf>
    <xf numFmtId="0" fontId="8" fillId="0" borderId="15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22" borderId="0" xfId="0" applyFont="1" applyFill="1" applyBorder="1" applyAlignment="1" applyProtection="1">
      <alignment/>
      <protection locked="0"/>
    </xf>
    <xf numFmtId="3" fontId="8" fillId="22" borderId="89" xfId="0" applyNumberFormat="1" applyFont="1" applyFill="1" applyBorder="1" applyAlignment="1" applyProtection="1">
      <alignment horizontal="right" shrinkToFit="1"/>
      <protection locked="0"/>
    </xf>
    <xf numFmtId="0" fontId="8" fillId="0" borderId="15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87" xfId="0" applyBorder="1" applyAlignment="1">
      <alignment/>
    </xf>
    <xf numFmtId="3" fontId="8" fillId="21" borderId="16" xfId="0" applyNumberFormat="1" applyFont="1" applyFill="1" applyBorder="1" applyAlignment="1" applyProtection="1">
      <alignment horizontal="right" shrinkToFit="1"/>
      <protection locked="0"/>
    </xf>
    <xf numFmtId="0" fontId="0" fillId="0" borderId="48" xfId="0" applyBorder="1" applyAlignment="1">
      <alignment/>
    </xf>
    <xf numFmtId="186" fontId="8" fillId="22" borderId="86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Fill="1" applyBorder="1" applyAlignment="1">
      <alignment/>
    </xf>
    <xf numFmtId="0" fontId="8" fillId="0" borderId="90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right" vertical="center"/>
      <protection/>
    </xf>
    <xf numFmtId="0" fontId="0" fillId="22" borderId="15" xfId="0" applyFill="1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74" fillId="0" borderId="0" xfId="0" applyFont="1" applyFill="1" applyAlignment="1">
      <alignment/>
    </xf>
    <xf numFmtId="186" fontId="8" fillId="0" borderId="91" xfId="0" applyNumberFormat="1" applyFont="1" applyFill="1" applyBorder="1" applyAlignment="1" applyProtection="1">
      <alignment shrinkToFit="1"/>
      <protection/>
    </xf>
    <xf numFmtId="186" fontId="8" fillId="22" borderId="91" xfId="0" applyNumberFormat="1" applyFont="1" applyFill="1" applyBorder="1" applyAlignment="1" applyProtection="1">
      <alignment shrinkToFit="1"/>
      <protection locked="0"/>
    </xf>
    <xf numFmtId="0" fontId="26" fillId="0" borderId="41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191" fontId="26" fillId="0" borderId="48" xfId="0" applyNumberFormat="1" applyFont="1" applyFill="1" applyBorder="1" applyAlignment="1" applyProtection="1">
      <alignment shrinkToFit="1"/>
      <protection/>
    </xf>
    <xf numFmtId="191" fontId="26" fillId="0" borderId="48" xfId="0" applyNumberFormat="1" applyFont="1" applyBorder="1" applyAlignment="1" applyProtection="1">
      <alignment shrinkToFit="1"/>
      <protection/>
    </xf>
    <xf numFmtId="0" fontId="74" fillId="0" borderId="0" xfId="0" applyFont="1" applyFill="1" applyAlignment="1" quotePrefix="1">
      <alignment/>
    </xf>
    <xf numFmtId="0" fontId="26" fillId="4" borderId="22" xfId="0" applyFont="1" applyFill="1" applyBorder="1" applyAlignment="1">
      <alignment horizontal="centerContinuous" shrinkToFit="1"/>
    </xf>
    <xf numFmtId="0" fontId="26" fillId="0" borderId="0" xfId="0" applyFont="1" applyBorder="1" applyAlignment="1" applyProtection="1">
      <alignment/>
      <protection/>
    </xf>
    <xf numFmtId="0" fontId="26" fillId="22" borderId="20" xfId="0" applyFont="1" applyFill="1" applyBorder="1" applyAlignment="1" applyProtection="1">
      <alignment horizontal="center"/>
      <protection locked="0"/>
    </xf>
    <xf numFmtId="186" fontId="8" fillId="22" borderId="80" xfId="0" applyNumberFormat="1" applyFont="1" applyFill="1" applyBorder="1" applyAlignment="1" applyProtection="1">
      <alignment shrinkToFit="1"/>
      <protection locked="0"/>
    </xf>
    <xf numFmtId="186" fontId="8" fillId="0" borderId="82" xfId="0" applyNumberFormat="1" applyFont="1" applyFill="1" applyBorder="1" applyAlignment="1" applyProtection="1">
      <alignment shrinkToFit="1"/>
      <protection/>
    </xf>
    <xf numFmtId="186" fontId="8" fillId="22" borderId="78" xfId="0" applyNumberFormat="1" applyFont="1" applyFill="1" applyBorder="1" applyAlignment="1" applyProtection="1">
      <alignment shrinkToFit="1"/>
      <protection locked="0"/>
    </xf>
    <xf numFmtId="0" fontId="26" fillId="22" borderId="16" xfId="0" applyFont="1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/>
    </xf>
    <xf numFmtId="0" fontId="0" fillId="0" borderId="43" xfId="0" applyFill="1" applyBorder="1" applyAlignment="1">
      <alignment/>
    </xf>
    <xf numFmtId="0" fontId="74" fillId="0" borderId="25" xfId="0" applyFont="1" applyFill="1" applyBorder="1" applyAlignment="1">
      <alignment/>
    </xf>
    <xf numFmtId="0" fontId="0" fillId="0" borderId="16" xfId="0" applyFill="1" applyBorder="1" applyAlignment="1">
      <alignment/>
    </xf>
    <xf numFmtId="0" fontId="26" fillId="22" borderId="18" xfId="0" applyFont="1" applyFill="1" applyBorder="1" applyAlignment="1" applyProtection="1">
      <alignment horizontal="center"/>
      <protection locked="0"/>
    </xf>
    <xf numFmtId="186" fontId="26" fillId="0" borderId="48" xfId="0" applyNumberFormat="1" applyFont="1" applyFill="1" applyBorder="1" applyAlignment="1" applyProtection="1">
      <alignment shrinkToFit="1"/>
      <protection/>
    </xf>
    <xf numFmtId="186" fontId="26" fillId="0" borderId="48" xfId="0" applyNumberFormat="1" applyFont="1" applyBorder="1" applyAlignment="1" applyProtection="1">
      <alignment shrinkToFit="1"/>
      <protection/>
    </xf>
    <xf numFmtId="0" fontId="0" fillId="0" borderId="18" xfId="0" applyFill="1" applyBorder="1" applyAlignment="1">
      <alignment/>
    </xf>
    <xf numFmtId="0" fontId="0" fillId="26" borderId="0" xfId="0" applyFill="1" applyAlignment="1" applyProtection="1">
      <alignment/>
      <protection locked="0"/>
    </xf>
    <xf numFmtId="186" fontId="8" fillId="21" borderId="78" xfId="0" applyNumberFormat="1" applyFont="1" applyFill="1" applyBorder="1" applyAlignment="1" applyProtection="1">
      <alignment shrinkToFit="1"/>
      <protection locked="0"/>
    </xf>
    <xf numFmtId="9" fontId="8" fillId="22" borderId="0" xfId="0" applyNumberFormat="1" applyFont="1" applyFill="1" applyBorder="1" applyAlignment="1" applyProtection="1">
      <alignment/>
      <protection locked="0"/>
    </xf>
    <xf numFmtId="197" fontId="8" fillId="0" borderId="16" xfId="0" applyNumberFormat="1" applyFont="1" applyBorder="1" applyAlignment="1" applyProtection="1">
      <alignment horizontal="right" shrinkToFit="1"/>
      <protection/>
    </xf>
    <xf numFmtId="186" fontId="8" fillId="26" borderId="86" xfId="0" applyNumberFormat="1" applyFont="1" applyFill="1" applyBorder="1" applyAlignment="1" applyProtection="1">
      <alignment shrinkToFit="1"/>
      <protection locked="0"/>
    </xf>
    <xf numFmtId="186" fontId="8" fillId="21" borderId="86" xfId="0" applyNumberFormat="1" applyFont="1" applyFill="1" applyBorder="1" applyAlignment="1" applyProtection="1">
      <alignment shrinkToFit="1"/>
      <protection locked="0"/>
    </xf>
    <xf numFmtId="186" fontId="8" fillId="21" borderId="91" xfId="0" applyNumberFormat="1" applyFont="1" applyFill="1" applyBorder="1" applyAlignment="1" applyProtection="1">
      <alignment shrinkToFit="1"/>
      <protection locked="0"/>
    </xf>
    <xf numFmtId="0" fontId="30" fillId="0" borderId="22" xfId="0" applyFont="1" applyBorder="1" applyAlignment="1" applyProtection="1">
      <alignment horizontal="right"/>
      <protection/>
    </xf>
    <xf numFmtId="191" fontId="26" fillId="0" borderId="48" xfId="0" applyNumberFormat="1" applyFont="1" applyFill="1" applyBorder="1" applyAlignment="1" applyProtection="1">
      <alignment vertical="center" shrinkToFit="1"/>
      <protection/>
    </xf>
    <xf numFmtId="191" fontId="26" fillId="0" borderId="48" xfId="0" applyNumberFormat="1" applyFont="1" applyBorder="1" applyAlignment="1" applyProtection="1">
      <alignment vertical="center" shrinkToFit="1"/>
      <protection/>
    </xf>
    <xf numFmtId="0" fontId="0" fillId="26" borderId="0" xfId="0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4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2" fillId="0" borderId="22" xfId="0" applyFont="1" applyBorder="1" applyAlignment="1">
      <alignment vertical="center" wrapText="1"/>
    </xf>
    <xf numFmtId="191" fontId="83" fillId="0" borderId="48" xfId="0" applyNumberFormat="1" applyFont="1" applyFill="1" applyBorder="1" applyAlignment="1" applyProtection="1">
      <alignment vertical="center" shrinkToFit="1"/>
      <protection/>
    </xf>
    <xf numFmtId="0" fontId="8" fillId="0" borderId="23" xfId="0" applyFont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86" fontId="1" fillId="0" borderId="0" xfId="0" applyNumberFormat="1" applyFont="1" applyFill="1" applyAlignment="1">
      <alignment vertical="center"/>
    </xf>
    <xf numFmtId="0" fontId="8" fillId="0" borderId="15" xfId="0" applyFont="1" applyBorder="1" applyAlignment="1" applyProtection="1">
      <alignment vertical="center"/>
      <protection/>
    </xf>
    <xf numFmtId="0" fontId="8" fillId="22" borderId="0" xfId="0" applyFont="1" applyFill="1" applyBorder="1" applyAlignment="1" applyProtection="1">
      <alignment vertical="center"/>
      <protection locked="0"/>
    </xf>
    <xf numFmtId="0" fontId="81" fillId="0" borderId="0" xfId="0" applyFont="1" applyBorder="1" applyAlignment="1" applyProtection="1">
      <alignment/>
      <protection/>
    </xf>
    <xf numFmtId="191" fontId="8" fillId="20" borderId="78" xfId="0" applyNumberFormat="1" applyFont="1" applyFill="1" applyBorder="1" applyAlignment="1" applyProtection="1">
      <alignment shrinkToFit="1"/>
      <protection/>
    </xf>
    <xf numFmtId="191" fontId="8" fillId="20" borderId="86" xfId="0" applyNumberFormat="1" applyFont="1" applyFill="1" applyBorder="1" applyAlignment="1" applyProtection="1">
      <alignment shrinkToFit="1"/>
      <protection/>
    </xf>
    <xf numFmtId="0" fontId="0" fillId="0" borderId="0" xfId="0" applyFont="1" applyFill="1" applyBorder="1" applyAlignment="1">
      <alignment/>
    </xf>
    <xf numFmtId="0" fontId="26" fillId="0" borderId="15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8" fillId="22" borderId="0" xfId="0" applyNumberFormat="1" applyFont="1" applyFill="1" applyBorder="1" applyAlignment="1" applyProtection="1">
      <alignment/>
      <protection locked="0"/>
    </xf>
    <xf numFmtId="2" fontId="8" fillId="22" borderId="80" xfId="0" applyNumberFormat="1" applyFont="1" applyFill="1" applyBorder="1" applyAlignment="1" applyProtection="1">
      <alignment/>
      <protection locked="0"/>
    </xf>
    <xf numFmtId="0" fontId="26" fillId="0" borderId="58" xfId="0" applyFont="1" applyBorder="1" applyAlignment="1" applyProtection="1">
      <alignment/>
      <protection/>
    </xf>
    <xf numFmtId="0" fontId="8" fillId="0" borderId="56" xfId="0" applyFont="1" applyFill="1" applyBorder="1" applyAlignment="1" applyProtection="1">
      <alignment/>
      <protection/>
    </xf>
    <xf numFmtId="3" fontId="8" fillId="22" borderId="56" xfId="0" applyNumberFormat="1" applyFont="1" applyFill="1" applyBorder="1" applyAlignment="1" applyProtection="1">
      <alignment/>
      <protection locked="0"/>
    </xf>
    <xf numFmtId="2" fontId="8" fillId="22" borderId="56" xfId="0" applyNumberFormat="1" applyFont="1" applyFill="1" applyBorder="1" applyAlignment="1" applyProtection="1">
      <alignment/>
      <protection locked="0"/>
    </xf>
    <xf numFmtId="0" fontId="8" fillId="22" borderId="90" xfId="0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/>
      <protection/>
    </xf>
    <xf numFmtId="3" fontId="8" fillId="22" borderId="0" xfId="0" applyNumberFormat="1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8" fillId="22" borderId="0" xfId="0" applyFont="1" applyFill="1" applyBorder="1" applyAlignment="1" applyProtection="1">
      <alignment horizontal="left"/>
      <protection locked="0"/>
    </xf>
    <xf numFmtId="186" fontId="8" fillId="22" borderId="91" xfId="0" applyNumberFormat="1" applyFont="1" applyFill="1" applyBorder="1" applyAlignment="1" applyProtection="1">
      <alignment vertical="center" shrinkToFit="1"/>
      <protection locked="0"/>
    </xf>
    <xf numFmtId="191" fontId="8" fillId="20" borderId="91" xfId="0" applyNumberFormat="1" applyFont="1" applyFill="1" applyBorder="1" applyAlignment="1" applyProtection="1">
      <alignment shrinkToFit="1"/>
      <protection/>
    </xf>
    <xf numFmtId="0" fontId="0" fillId="0" borderId="92" xfId="0" applyBorder="1" applyAlignment="1">
      <alignment/>
    </xf>
    <xf numFmtId="0" fontId="26" fillId="0" borderId="53" xfId="0" applyFont="1" applyBorder="1" applyAlignment="1">
      <alignment/>
    </xf>
    <xf numFmtId="0" fontId="27" fillId="0" borderId="93" xfId="0" applyFont="1" applyBorder="1" applyAlignment="1">
      <alignment/>
    </xf>
    <xf numFmtId="0" fontId="25" fillId="0" borderId="93" xfId="0" applyFont="1" applyBorder="1" applyAlignment="1">
      <alignment/>
    </xf>
    <xf numFmtId="0" fontId="25" fillId="0" borderId="94" xfId="0" applyFont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191" fontId="0" fillId="0" borderId="95" xfId="0" applyNumberFormat="1" applyFont="1" applyFill="1" applyBorder="1" applyAlignment="1" applyProtection="1">
      <alignment/>
      <protection/>
    </xf>
    <xf numFmtId="0" fontId="26" fillId="0" borderId="49" xfId="0" applyFont="1" applyBorder="1" applyAlignment="1">
      <alignment/>
    </xf>
    <xf numFmtId="0" fontId="2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96" xfId="0" applyFont="1" applyBorder="1" applyAlignment="1">
      <alignment/>
    </xf>
    <xf numFmtId="191" fontId="26" fillId="0" borderId="10" xfId="0" applyNumberFormat="1" applyFont="1" applyFill="1" applyBorder="1" applyAlignment="1">
      <alignment horizontal="center" shrinkToFit="1"/>
    </xf>
    <xf numFmtId="191" fontId="8" fillId="0" borderId="50" xfId="0" applyNumberFormat="1" applyFont="1" applyBorder="1" applyAlignment="1">
      <alignment shrinkToFit="1"/>
    </xf>
    <xf numFmtId="191" fontId="0" fillId="0" borderId="0" xfId="0" applyNumberFormat="1" applyFont="1" applyFill="1" applyBorder="1" applyAlignment="1" applyProtection="1">
      <alignment/>
      <protection/>
    </xf>
    <xf numFmtId="0" fontId="25" fillId="0" borderId="25" xfId="0" applyFont="1" applyFill="1" applyBorder="1" applyAlignment="1">
      <alignment vertical="center" shrinkToFit="1"/>
    </xf>
    <xf numFmtId="0" fontId="26" fillId="0" borderId="6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5" fillId="0" borderId="24" xfId="0" applyFont="1" applyBorder="1" applyAlignment="1" applyProtection="1">
      <alignment vertical="center"/>
      <protection/>
    </xf>
    <xf numFmtId="0" fontId="25" fillId="0" borderId="50" xfId="0" applyFont="1" applyBorder="1" applyAlignment="1" applyProtection="1">
      <alignment vertical="center"/>
      <protection/>
    </xf>
    <xf numFmtId="191" fontId="26" fillId="0" borderId="50" xfId="0" applyNumberFormat="1" applyFont="1" applyBorder="1" applyAlignment="1" applyProtection="1">
      <alignment vertical="center" shrinkToFit="1"/>
      <protection/>
    </xf>
    <xf numFmtId="191" fontId="26" fillId="0" borderId="51" xfId="0" applyNumberFormat="1" applyFont="1" applyBorder="1" applyAlignment="1" applyProtection="1">
      <alignment vertical="center" shrinkToFit="1"/>
      <protection/>
    </xf>
    <xf numFmtId="191" fontId="26" fillId="0" borderId="32" xfId="0" applyNumberFormat="1" applyFont="1" applyBorder="1" applyAlignment="1" applyProtection="1">
      <alignment vertical="center" shrinkToFit="1"/>
      <protection/>
    </xf>
    <xf numFmtId="0" fontId="0" fillId="0" borderId="14" xfId="0" applyBorder="1" applyAlignment="1">
      <alignment vertical="center"/>
    </xf>
    <xf numFmtId="0" fontId="25" fillId="0" borderId="0" xfId="0" applyFont="1" applyFill="1" applyBorder="1" applyAlignment="1" applyProtection="1">
      <alignment/>
      <protection/>
    </xf>
    <xf numFmtId="3" fontId="25" fillId="22" borderId="0" xfId="0" applyNumberFormat="1" applyFont="1" applyFill="1" applyBorder="1" applyAlignment="1" applyProtection="1">
      <alignment/>
      <protection locked="0"/>
    </xf>
    <xf numFmtId="186" fontId="8" fillId="22" borderId="79" xfId="0" applyNumberFormat="1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16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84" fillId="0" borderId="0" xfId="0" applyFont="1" applyBorder="1" applyAlignment="1">
      <alignment/>
    </xf>
    <xf numFmtId="0" fontId="8" fillId="0" borderId="58" xfId="0" applyFont="1" applyFill="1" applyBorder="1" applyAlignment="1" applyProtection="1">
      <alignment/>
      <protection/>
    </xf>
    <xf numFmtId="0" fontId="25" fillId="0" borderId="56" xfId="0" applyFont="1" applyFill="1" applyBorder="1" applyAlignment="1" applyProtection="1">
      <alignment/>
      <protection/>
    </xf>
    <xf numFmtId="0" fontId="25" fillId="22" borderId="56" xfId="0" applyFont="1" applyFill="1" applyBorder="1" applyAlignment="1" applyProtection="1">
      <alignment/>
      <protection locked="0"/>
    </xf>
    <xf numFmtId="186" fontId="8" fillId="22" borderId="97" xfId="0" applyNumberFormat="1" applyFont="1" applyFill="1" applyBorder="1" applyAlignment="1" applyProtection="1">
      <alignment vertical="center" shrinkToFit="1"/>
      <protection locked="0"/>
    </xf>
    <xf numFmtId="0" fontId="25" fillId="0" borderId="39" xfId="0" applyFont="1" applyFill="1" applyBorder="1" applyAlignment="1">
      <alignment shrinkToFit="1"/>
    </xf>
    <xf numFmtId="0" fontId="26" fillId="0" borderId="98" xfId="0" applyFont="1" applyBorder="1" applyAlignment="1" applyProtection="1">
      <alignment/>
      <protection/>
    </xf>
    <xf numFmtId="0" fontId="26" fillId="0" borderId="99" xfId="0" applyFont="1" applyBorder="1" applyAlignment="1" applyProtection="1">
      <alignment/>
      <protection/>
    </xf>
    <xf numFmtId="0" fontId="27" fillId="0" borderId="99" xfId="0" applyFont="1" applyBorder="1" applyAlignment="1" applyProtection="1">
      <alignment/>
      <protection/>
    </xf>
    <xf numFmtId="192" fontId="26" fillId="0" borderId="38" xfId="0" applyNumberFormat="1" applyFont="1" applyBorder="1" applyAlignment="1" applyProtection="1">
      <alignment shrinkToFit="1"/>
      <protection/>
    </xf>
    <xf numFmtId="0" fontId="0" fillId="0" borderId="10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3" xfId="0" applyBorder="1" applyAlignment="1">
      <alignment/>
    </xf>
    <xf numFmtId="0" fontId="85" fillId="0" borderId="101" xfId="0" applyFont="1" applyBorder="1" applyAlignment="1" applyProtection="1">
      <alignment horizontal="center" shrinkToFit="1"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25" fillId="0" borderId="0" xfId="0" applyFont="1" applyAlignment="1">
      <alignment shrinkToFi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74" fillId="0" borderId="0" xfId="0" applyFont="1" applyBorder="1" applyAlignment="1">
      <alignment horizontal="right"/>
    </xf>
    <xf numFmtId="0" fontId="25" fillId="0" borderId="0" xfId="0" applyFont="1" applyAlignment="1">
      <alignment/>
    </xf>
    <xf numFmtId="0" fontId="35" fillId="0" borderId="0" xfId="0" applyFont="1" applyBorder="1" applyAlignment="1">
      <alignment horizontal="right"/>
    </xf>
    <xf numFmtId="49" fontId="74" fillId="0" borderId="0" xfId="0" applyNumberFormat="1" applyFont="1" applyFill="1" applyBorder="1" applyAlignment="1" applyProtection="1">
      <alignment horizontal="left"/>
      <protection/>
    </xf>
    <xf numFmtId="0" fontId="74" fillId="0" borderId="0" xfId="0" applyFont="1" applyFill="1" applyBorder="1" applyAlignment="1" applyProtection="1">
      <alignment horizontal="center"/>
      <protection/>
    </xf>
    <xf numFmtId="49" fontId="86" fillId="0" borderId="0" xfId="0" applyNumberFormat="1" applyFont="1" applyBorder="1" applyAlignment="1">
      <alignment/>
    </xf>
    <xf numFmtId="0" fontId="87" fillId="0" borderId="0" xfId="0" applyFont="1" applyFill="1" applyBorder="1" applyAlignment="1" applyProtection="1">
      <alignment horizontal="centerContinuous" vertical="center" wrapText="1"/>
      <protection/>
    </xf>
    <xf numFmtId="0" fontId="27" fillId="0" borderId="33" xfId="0" applyFont="1" applyBorder="1" applyAlignment="1" applyProtection="1">
      <alignment horizontal="center" wrapText="1"/>
      <protection/>
    </xf>
    <xf numFmtId="0" fontId="78" fillId="0" borderId="0" xfId="0" applyFont="1" applyAlignment="1">
      <alignment/>
    </xf>
    <xf numFmtId="0" fontId="25" fillId="0" borderId="33" xfId="0" applyFont="1" applyBorder="1" applyAlignment="1" applyProtection="1">
      <alignment horizontal="center" wrapText="1"/>
      <protection/>
    </xf>
    <xf numFmtId="0" fontId="25" fillId="0" borderId="43" xfId="0" applyFont="1" applyBorder="1" applyAlignment="1" applyProtection="1">
      <alignment/>
      <protection/>
    </xf>
    <xf numFmtId="0" fontId="25" fillId="0" borderId="34" xfId="0" applyFont="1" applyBorder="1" applyAlignment="1" applyProtection="1">
      <alignment horizontal="center" wrapText="1"/>
      <protection/>
    </xf>
    <xf numFmtId="197" fontId="8" fillId="21" borderId="34" xfId="0" applyNumberFormat="1" applyFont="1" applyFill="1" applyBorder="1" applyAlignment="1" applyProtection="1">
      <alignment horizontal="center"/>
      <protection locked="0"/>
    </xf>
    <xf numFmtId="192" fontId="89" fillId="0" borderId="34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 horizontal="center" textRotation="90" wrapText="1"/>
    </xf>
    <xf numFmtId="0" fontId="79" fillId="0" borderId="0" xfId="0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/>
    </xf>
    <xf numFmtId="192" fontId="30" fillId="0" borderId="0" xfId="0" applyNumberFormat="1" applyFont="1" applyFill="1" applyBorder="1" applyAlignment="1" applyProtection="1">
      <alignment/>
      <protection/>
    </xf>
    <xf numFmtId="193" fontId="8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197" fontId="0" fillId="22" borderId="67" xfId="0" applyNumberFormat="1" applyFont="1" applyFill="1" applyBorder="1" applyAlignment="1" applyProtection="1">
      <alignment shrinkToFit="1"/>
      <protection locked="0"/>
    </xf>
    <xf numFmtId="197" fontId="0" fillId="22" borderId="102" xfId="0" applyNumberFormat="1" applyFont="1" applyFill="1" applyBorder="1" applyAlignment="1" applyProtection="1">
      <alignment shrinkToFit="1"/>
      <protection locked="0"/>
    </xf>
    <xf numFmtId="196" fontId="25" fillId="22" borderId="0" xfId="0" applyNumberFormat="1" applyFont="1" applyFill="1" applyBorder="1" applyAlignment="1" applyProtection="1">
      <alignment/>
      <protection locked="0"/>
    </xf>
    <xf numFmtId="197" fontId="0" fillId="21" borderId="102" xfId="0" applyNumberFormat="1" applyFont="1" applyFill="1" applyBorder="1" applyAlignment="1" applyProtection="1">
      <alignment shrinkToFit="1"/>
      <protection locked="0"/>
    </xf>
    <xf numFmtId="192" fontId="0" fillId="0" borderId="48" xfId="0" applyNumberFormat="1" applyFont="1" applyBorder="1" applyAlignment="1" applyProtection="1">
      <alignment/>
      <protection/>
    </xf>
    <xf numFmtId="197" fontId="0" fillId="22" borderId="103" xfId="0" applyNumberFormat="1" applyFont="1" applyFill="1" applyBorder="1" applyAlignment="1" applyProtection="1">
      <alignment shrinkToFit="1"/>
      <protection locked="0"/>
    </xf>
    <xf numFmtId="193" fontId="26" fillId="0" borderId="22" xfId="0" applyNumberFormat="1" applyFont="1" applyBorder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textRotation="90"/>
    </xf>
    <xf numFmtId="193" fontId="26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wrapText="1"/>
      <protection/>
    </xf>
    <xf numFmtId="197" fontId="1" fillId="0" borderId="33" xfId="0" applyNumberFormat="1" applyFont="1" applyBorder="1" applyAlignment="1" applyProtection="1">
      <alignment shrinkToFit="1"/>
      <protection/>
    </xf>
    <xf numFmtId="0" fontId="0" fillId="21" borderId="48" xfId="0" applyFill="1" applyBorder="1" applyAlignment="1" applyProtection="1">
      <alignment/>
      <protection locked="0"/>
    </xf>
    <xf numFmtId="193" fontId="8" fillId="0" borderId="0" xfId="0" applyNumberFormat="1" applyFont="1" applyBorder="1" applyAlignment="1" applyProtection="1">
      <alignment/>
      <protection/>
    </xf>
    <xf numFmtId="197" fontId="0" fillId="0" borderId="33" xfId="0" applyNumberFormat="1" applyFont="1" applyBorder="1" applyAlignment="1" applyProtection="1">
      <alignment shrinkToFit="1"/>
      <protection/>
    </xf>
    <xf numFmtId="37" fontId="0" fillId="21" borderId="76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/>
    </xf>
    <xf numFmtId="0" fontId="91" fillId="0" borderId="0" xfId="0" applyFont="1" applyFill="1" applyBorder="1" applyAlignment="1">
      <alignment horizontal="left"/>
    </xf>
    <xf numFmtId="197" fontId="0" fillId="0" borderId="33" xfId="0" applyNumberFormat="1" applyFont="1" applyFill="1" applyBorder="1" applyAlignment="1" applyProtection="1">
      <alignment shrinkToFit="1"/>
      <protection/>
    </xf>
    <xf numFmtId="0" fontId="29" fillId="0" borderId="0" xfId="0" applyFont="1" applyFill="1" applyBorder="1" applyAlignment="1">
      <alignment/>
    </xf>
    <xf numFmtId="196" fontId="0" fillId="21" borderId="48" xfId="0" applyNumberFormat="1" applyFill="1" applyBorder="1" applyAlignment="1" applyProtection="1">
      <alignment/>
      <protection locked="0"/>
    </xf>
    <xf numFmtId="197" fontId="0" fillId="21" borderId="48" xfId="0" applyNumberFormat="1" applyFill="1" applyBorder="1" applyAlignment="1" applyProtection="1">
      <alignment/>
      <protection locked="0"/>
    </xf>
    <xf numFmtId="197" fontId="29" fillId="0" borderId="25" xfId="0" applyNumberFormat="1" applyFont="1" applyFill="1" applyBorder="1" applyAlignment="1">
      <alignment horizontal="center"/>
    </xf>
    <xf numFmtId="197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97" fontId="39" fillId="0" borderId="33" xfId="0" applyNumberFormat="1" applyFont="1" applyFill="1" applyBorder="1" applyAlignment="1" applyProtection="1">
      <alignment shrinkToFit="1"/>
      <protection/>
    </xf>
    <xf numFmtId="193" fontId="26" fillId="0" borderId="104" xfId="0" applyNumberFormat="1" applyFont="1" applyBorder="1" applyAlignment="1" applyProtection="1">
      <alignment/>
      <protection/>
    </xf>
    <xf numFmtId="0" fontId="27" fillId="0" borderId="104" xfId="0" applyFont="1" applyBorder="1" applyAlignment="1" applyProtection="1">
      <alignment/>
      <protection/>
    </xf>
    <xf numFmtId="0" fontId="27" fillId="0" borderId="43" xfId="0" applyFont="1" applyBorder="1" applyAlignment="1" applyProtection="1">
      <alignment/>
      <protection/>
    </xf>
    <xf numFmtId="0" fontId="25" fillId="0" borderId="43" xfId="0" applyFont="1" applyBorder="1" applyAlignment="1" applyProtection="1">
      <alignment horizontal="right"/>
      <protection/>
    </xf>
    <xf numFmtId="197" fontId="25" fillId="0" borderId="104" xfId="0" applyNumberFormat="1" applyFont="1" applyBorder="1" applyAlignment="1" applyProtection="1">
      <alignment/>
      <protection/>
    </xf>
    <xf numFmtId="197" fontId="1" fillId="0" borderId="48" xfId="0" applyNumberFormat="1" applyFont="1" applyBorder="1" applyAlignment="1" applyProtection="1">
      <alignment shrinkToFit="1"/>
      <protection/>
    </xf>
    <xf numFmtId="200" fontId="91" fillId="0" borderId="105" xfId="0" applyNumberFormat="1" applyFont="1" applyFill="1" applyBorder="1" applyAlignment="1" applyProtection="1">
      <alignment horizontal="center" shrinkToFit="1"/>
      <protection/>
    </xf>
    <xf numFmtId="192" fontId="30" fillId="0" borderId="0" xfId="0" applyNumberFormat="1" applyFont="1" applyFill="1" applyBorder="1" applyAlignment="1" applyProtection="1">
      <alignment horizontal="center" wrapText="1" shrinkToFit="1"/>
      <protection/>
    </xf>
    <xf numFmtId="0" fontId="25" fillId="0" borderId="0" xfId="0" applyFont="1" applyBorder="1" applyAlignment="1" applyProtection="1">
      <alignment horizontal="center"/>
      <protection/>
    </xf>
    <xf numFmtId="197" fontId="25" fillId="0" borderId="0" xfId="0" applyNumberFormat="1" applyFont="1" applyBorder="1" applyAlignment="1" applyProtection="1">
      <alignment/>
      <protection/>
    </xf>
    <xf numFmtId="192" fontId="30" fillId="0" borderId="25" xfId="0" applyNumberFormat="1" applyFont="1" applyFill="1" applyBorder="1" applyAlignment="1" applyProtection="1">
      <alignment horizontal="center" wrapText="1" shrinkToFit="1"/>
      <protection/>
    </xf>
    <xf numFmtId="0" fontId="25" fillId="0" borderId="0" xfId="0" applyFont="1" applyFill="1" applyBorder="1" applyAlignment="1">
      <alignment/>
    </xf>
    <xf numFmtId="0" fontId="25" fillId="0" borderId="56" xfId="0" applyFont="1" applyBorder="1" applyAlignment="1" applyProtection="1">
      <alignment/>
      <protection/>
    </xf>
    <xf numFmtId="0" fontId="25" fillId="0" borderId="22" xfId="0" applyFont="1" applyFill="1" applyBorder="1" applyAlignment="1" applyProtection="1">
      <alignment/>
      <protection/>
    </xf>
    <xf numFmtId="197" fontId="1" fillId="0" borderId="48" xfId="0" applyNumberFormat="1" applyFont="1" applyFill="1" applyBorder="1" applyAlignment="1" applyProtection="1">
      <alignment shrinkToFit="1"/>
      <protection/>
    </xf>
    <xf numFmtId="197" fontId="1" fillId="0" borderId="106" xfId="0" applyNumberFormat="1" applyFont="1" applyBorder="1" applyAlignment="1" applyProtection="1">
      <alignment shrinkToFit="1"/>
      <protection/>
    </xf>
    <xf numFmtId="197" fontId="97" fillId="0" borderId="95" xfId="0" applyNumberFormat="1" applyFont="1" applyBorder="1" applyAlignment="1" applyProtection="1">
      <alignment shrinkToFit="1"/>
      <protection/>
    </xf>
    <xf numFmtId="188" fontId="25" fillId="22" borderId="107" xfId="0" applyNumberFormat="1" applyFont="1" applyFill="1" applyBorder="1" applyAlignment="1" applyProtection="1">
      <alignment horizontal="center"/>
      <protection locked="0"/>
    </xf>
    <xf numFmtId="0" fontId="79" fillId="0" borderId="0" xfId="0" applyFont="1" applyBorder="1" applyAlignment="1" applyProtection="1">
      <alignment horizontal="center"/>
      <protection/>
    </xf>
    <xf numFmtId="0" fontId="79" fillId="0" borderId="56" xfId="0" applyFont="1" applyBorder="1" applyAlignment="1" applyProtection="1">
      <alignment horizontal="center"/>
      <protection/>
    </xf>
    <xf numFmtId="3" fontId="8" fillId="21" borderId="108" xfId="0" applyNumberFormat="1" applyFont="1" applyFill="1" applyBorder="1" applyAlignment="1" applyProtection="1">
      <alignment horizontal="right" shrinkToFit="1"/>
      <protection locked="0"/>
    </xf>
    <xf numFmtId="3" fontId="8" fillId="21" borderId="109" xfId="0" applyNumberFormat="1" applyFont="1" applyFill="1" applyBorder="1" applyAlignment="1" applyProtection="1">
      <alignment horizontal="right" shrinkToFit="1"/>
      <protection locked="0"/>
    </xf>
    <xf numFmtId="3" fontId="8" fillId="22" borderId="110" xfId="0" applyNumberFormat="1" applyFont="1" applyFill="1" applyBorder="1" applyAlignment="1" applyProtection="1">
      <alignment horizontal="right" shrinkToFit="1"/>
      <protection locked="0"/>
    </xf>
    <xf numFmtId="3" fontId="8" fillId="22" borderId="86" xfId="0" applyNumberFormat="1" applyFont="1" applyFill="1" applyBorder="1" applyAlignment="1" applyProtection="1">
      <alignment horizontal="right" shrinkToFit="1"/>
      <protection locked="0"/>
    </xf>
    <xf numFmtId="0" fontId="25" fillId="0" borderId="26" xfId="0" applyFont="1" applyBorder="1" applyAlignment="1">
      <alignment shrinkToFit="1"/>
    </xf>
    <xf numFmtId="0" fontId="2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 applyProtection="1">
      <alignment/>
      <protection/>
    </xf>
    <xf numFmtId="0" fontId="25" fillId="4" borderId="43" xfId="0" applyFont="1" applyFill="1" applyBorder="1" applyAlignment="1" applyProtection="1">
      <alignment/>
      <protection/>
    </xf>
    <xf numFmtId="0" fontId="25" fillId="4" borderId="18" xfId="0" applyFont="1" applyFill="1" applyBorder="1" applyAlignment="1" applyProtection="1">
      <alignment horizontal="right"/>
      <protection/>
    </xf>
    <xf numFmtId="0" fontId="86" fillId="0" borderId="11" xfId="0" applyFont="1" applyFill="1" applyBorder="1" applyAlignment="1" applyProtection="1">
      <alignment horizontal="right"/>
      <protection/>
    </xf>
    <xf numFmtId="49" fontId="86" fillId="0" borderId="11" xfId="0" applyNumberFormat="1" applyFont="1" applyBorder="1" applyAlignment="1">
      <alignment/>
    </xf>
    <xf numFmtId="49" fontId="74" fillId="0" borderId="11" xfId="0" applyNumberFormat="1" applyFont="1" applyFill="1" applyBorder="1" applyAlignment="1" applyProtection="1">
      <alignment horizontal="left"/>
      <protection/>
    </xf>
    <xf numFmtId="0" fontId="74" fillId="0" borderId="11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/>
      <protection/>
    </xf>
    <xf numFmtId="3" fontId="8" fillId="22" borderId="111" xfId="0" applyNumberFormat="1" applyFont="1" applyFill="1" applyBorder="1" applyAlignment="1" applyProtection="1">
      <alignment horizontal="right" shrinkToFit="1"/>
      <protection locked="0"/>
    </xf>
    <xf numFmtId="191" fontId="26" fillId="0" borderId="112" xfId="0" applyNumberFormat="1" applyFont="1" applyFill="1" applyBorder="1" applyAlignment="1">
      <alignment horizontal="right" shrinkToFit="1"/>
    </xf>
    <xf numFmtId="191" fontId="8" fillId="0" borderId="94" xfId="0" applyNumberFormat="1" applyFont="1" applyBorder="1" applyAlignment="1">
      <alignment horizontal="right" shrinkToFit="1"/>
    </xf>
    <xf numFmtId="0" fontId="25" fillId="0" borderId="25" xfId="0" applyFont="1" applyBorder="1" applyAlignment="1" applyProtection="1">
      <alignment horizontal="center" vertical="center"/>
      <protection/>
    </xf>
    <xf numFmtId="0" fontId="27" fillId="0" borderId="39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/>
      <protection/>
    </xf>
    <xf numFmtId="1" fontId="25" fillId="0" borderId="113" xfId="54" applyNumberFormat="1" applyFont="1" applyBorder="1" applyAlignment="1" applyProtection="1">
      <alignment horizontal="center" vertical="center"/>
      <protection/>
    </xf>
    <xf numFmtId="1" fontId="25" fillId="0" borderId="60" xfId="54" applyNumberFormat="1" applyFont="1" applyBorder="1" applyAlignment="1" applyProtection="1">
      <alignment horizontal="center" vertical="center"/>
      <protection/>
    </xf>
    <xf numFmtId="1" fontId="25" fillId="0" borderId="69" xfId="54" applyNumberFormat="1" applyFont="1" applyBorder="1" applyAlignment="1" applyProtection="1">
      <alignment horizontal="center" vertical="center"/>
      <protection/>
    </xf>
    <xf numFmtId="1" fontId="25" fillId="0" borderId="25" xfId="54" applyNumberFormat="1" applyFont="1" applyBorder="1" applyAlignment="1" applyProtection="1">
      <alignment horizontal="center" vertical="center"/>
      <protection/>
    </xf>
    <xf numFmtId="0" fontId="25" fillId="0" borderId="25" xfId="54" applyFont="1" applyBorder="1" applyAlignment="1" applyProtection="1">
      <alignment horizontal="center" vertical="center"/>
      <protection/>
    </xf>
    <xf numFmtId="0" fontId="25" fillId="0" borderId="21" xfId="54" applyFont="1" applyBorder="1" applyAlignment="1" applyProtection="1">
      <alignment horizontal="center" vertical="center"/>
      <protection/>
    </xf>
    <xf numFmtId="0" fontId="25" fillId="24" borderId="70" xfId="54" applyFont="1" applyFill="1" applyBorder="1" applyAlignment="1" applyProtection="1">
      <alignment horizontal="center" vertical="center"/>
      <protection/>
    </xf>
    <xf numFmtId="0" fontId="25" fillId="24" borderId="39" xfId="54" applyFont="1" applyFill="1" applyBorder="1" applyAlignment="1" applyProtection="1">
      <alignment horizontal="center" vertical="center"/>
      <protection/>
    </xf>
    <xf numFmtId="0" fontId="25" fillId="0" borderId="55" xfId="54" applyFont="1" applyFill="1" applyBorder="1" applyAlignment="1" applyProtection="1">
      <alignment horizontal="center" vertical="center"/>
      <protection/>
    </xf>
    <xf numFmtId="0" fontId="25" fillId="0" borderId="57" xfId="54" applyFont="1" applyBorder="1" applyAlignment="1" applyProtection="1">
      <alignment horizontal="center" vertical="center"/>
      <protection/>
    </xf>
    <xf numFmtId="0" fontId="25" fillId="0" borderId="60" xfId="54" applyFont="1" applyBorder="1" applyAlignment="1" applyProtection="1">
      <alignment horizontal="center" vertical="center"/>
      <protection/>
    </xf>
    <xf numFmtId="0" fontId="25" fillId="0" borderId="55" xfId="54" applyFont="1" applyBorder="1" applyAlignment="1" applyProtection="1">
      <alignment horizontal="center" vertical="center"/>
      <protection/>
    </xf>
    <xf numFmtId="0" fontId="25" fillId="0" borderId="60" xfId="54" applyFont="1" applyFill="1" applyBorder="1" applyAlignment="1" applyProtection="1">
      <alignment horizontal="center" vertical="center"/>
      <protection/>
    </xf>
    <xf numFmtId="0" fontId="25" fillId="0" borderId="114" xfId="54" applyFont="1" applyBorder="1" applyAlignment="1" applyProtection="1">
      <alignment horizontal="center" vertical="center"/>
      <protection/>
    </xf>
    <xf numFmtId="0" fontId="25" fillId="0" borderId="39" xfId="54" applyFont="1" applyBorder="1" applyAlignment="1" applyProtection="1">
      <alignment horizontal="center" vertical="center"/>
      <protection/>
    </xf>
    <xf numFmtId="0" fontId="0" fillId="0" borderId="8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25" fillId="0" borderId="60" xfId="0" applyFont="1" applyBorder="1" applyAlignment="1" applyProtection="1">
      <alignment horizontal="center" vertical="center"/>
      <protection/>
    </xf>
    <xf numFmtId="0" fontId="25" fillId="0" borderId="60" xfId="0" applyFont="1" applyBorder="1" applyAlignment="1" applyProtection="1">
      <alignment vertical="center"/>
      <protection/>
    </xf>
    <xf numFmtId="0" fontId="25" fillId="0" borderId="55" xfId="0" applyFont="1" applyBorder="1" applyAlignment="1" applyProtection="1">
      <alignment horizontal="center" vertical="center"/>
      <protection/>
    </xf>
    <xf numFmtId="0" fontId="91" fillId="0" borderId="60" xfId="0" applyFont="1" applyBorder="1" applyAlignment="1" applyProtection="1">
      <alignment horizontal="center" vertical="center"/>
      <protection/>
    </xf>
    <xf numFmtId="0" fontId="98" fillId="0" borderId="60" xfId="0" applyFont="1" applyBorder="1" applyAlignment="1" applyProtection="1">
      <alignment vertical="center"/>
      <protection/>
    </xf>
    <xf numFmtId="0" fontId="98" fillId="0" borderId="68" xfId="0" applyFont="1" applyBorder="1" applyAlignment="1" applyProtection="1">
      <alignment vertical="center"/>
      <protection/>
    </xf>
    <xf numFmtId="0" fontId="91" fillId="0" borderId="60" xfId="0" applyFont="1" applyBorder="1" applyAlignment="1" applyProtection="1">
      <alignment vertical="center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25" fillId="0" borderId="52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115" xfId="0" applyFont="1" applyBorder="1" applyAlignment="1" applyProtection="1">
      <alignment horizontal="center" vertical="center"/>
      <protection/>
    </xf>
    <xf numFmtId="0" fontId="25" fillId="0" borderId="116" xfId="0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8" fillId="0" borderId="108" xfId="0" applyNumberFormat="1" applyFont="1" applyFill="1" applyBorder="1" applyAlignment="1" applyProtection="1">
      <alignment horizontal="right"/>
      <protection/>
    </xf>
    <xf numFmtId="0" fontId="48" fillId="0" borderId="11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33" fillId="0" borderId="11" xfId="0" applyFont="1" applyFill="1" applyBorder="1" applyAlignment="1" applyProtection="1">
      <alignment horizontal="centerContinuous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Continuous" vertical="center"/>
      <protection/>
    </xf>
    <xf numFmtId="164" fontId="23" fillId="0" borderId="117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87" fontId="0" fillId="0" borderId="33" xfId="0" applyNumberFormat="1" applyFont="1" applyFill="1" applyBorder="1" applyAlignment="1" applyProtection="1">
      <alignment horizontal="right" vertical="center"/>
      <protection/>
    </xf>
    <xf numFmtId="187" fontId="0" fillId="0" borderId="30" xfId="0" applyNumberFormat="1" applyFont="1" applyFill="1" applyBorder="1" applyAlignment="1" applyProtection="1">
      <alignment horizontal="right" vertical="center"/>
      <protection/>
    </xf>
    <xf numFmtId="0" fontId="32" fillId="0" borderId="72" xfId="0" applyFont="1" applyFill="1" applyBorder="1" applyAlignment="1" applyProtection="1">
      <alignment vertical="center"/>
      <protection/>
    </xf>
    <xf numFmtId="0" fontId="35" fillId="0" borderId="72" xfId="0" applyFont="1" applyFill="1" applyBorder="1" applyAlignment="1" applyProtection="1">
      <alignment vertical="center"/>
      <protection/>
    </xf>
    <xf numFmtId="173" fontId="35" fillId="0" borderId="72" xfId="0" applyNumberFormat="1" applyFont="1" applyFill="1" applyBorder="1" applyAlignment="1" applyProtection="1">
      <alignment horizontal="right" vertical="center"/>
      <protection/>
    </xf>
    <xf numFmtId="173" fontId="1" fillId="0" borderId="71" xfId="0" applyNumberFormat="1" applyFont="1" applyFill="1" applyBorder="1" applyAlignment="1" applyProtection="1">
      <alignment horizontal="right" vertical="center"/>
      <protection/>
    </xf>
    <xf numFmtId="173" fontId="1" fillId="0" borderId="118" xfId="0" applyNumberFormat="1" applyFont="1" applyFill="1" applyBorder="1" applyAlignment="1" applyProtection="1">
      <alignment horizontal="right" vertical="center"/>
      <protection/>
    </xf>
    <xf numFmtId="173" fontId="32" fillId="0" borderId="46" xfId="0" applyNumberFormat="1" applyFont="1" applyFill="1" applyBorder="1" applyAlignment="1" applyProtection="1">
      <alignment horizontal="right" vertical="center"/>
      <protection/>
    </xf>
    <xf numFmtId="200" fontId="0" fillId="0" borderId="15" xfId="0" applyNumberFormat="1" applyFont="1" applyFill="1" applyBorder="1" applyAlignment="1" applyProtection="1">
      <alignment horizontal="right" vertical="center"/>
      <protection/>
    </xf>
    <xf numFmtId="200" fontId="0" fillId="0" borderId="33" xfId="0" applyNumberFormat="1" applyFont="1" applyFill="1" applyBorder="1" applyAlignment="1" applyProtection="1">
      <alignment horizontal="right" vertical="center"/>
      <protection/>
    </xf>
    <xf numFmtId="0" fontId="25" fillId="0" borderId="40" xfId="0" applyFont="1" applyBorder="1" applyAlignment="1" applyProtection="1">
      <alignment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196" fontId="0" fillId="22" borderId="36" xfId="0" applyNumberFormat="1" applyFont="1" applyFill="1" applyBorder="1" applyAlignment="1" applyProtection="1">
      <alignment/>
      <protection locked="0"/>
    </xf>
    <xf numFmtId="196" fontId="0" fillId="22" borderId="33" xfId="0" applyNumberFormat="1" applyFont="1" applyFill="1" applyBorder="1" applyAlignment="1" applyProtection="1">
      <alignment/>
      <protection locked="0"/>
    </xf>
    <xf numFmtId="196" fontId="0" fillId="22" borderId="34" xfId="0" applyNumberFormat="1" applyFont="1" applyFill="1" applyBorder="1" applyAlignment="1" applyProtection="1">
      <alignment/>
      <protection locked="0"/>
    </xf>
    <xf numFmtId="194" fontId="0" fillId="22" borderId="36" xfId="0" applyNumberFormat="1" applyFont="1" applyFill="1" applyBorder="1" applyAlignment="1" applyProtection="1">
      <alignment/>
      <protection locked="0"/>
    </xf>
    <xf numFmtId="194" fontId="0" fillId="22" borderId="33" xfId="0" applyNumberFormat="1" applyFont="1" applyFill="1" applyBorder="1" applyAlignment="1" applyProtection="1">
      <alignment/>
      <protection locked="0"/>
    </xf>
    <xf numFmtId="194" fontId="0" fillId="22" borderId="34" xfId="0" applyNumberFormat="1" applyFont="1" applyFill="1" applyBorder="1" applyAlignment="1" applyProtection="1">
      <alignment/>
      <protection locked="0"/>
    </xf>
    <xf numFmtId="193" fontId="0" fillId="22" borderId="40" xfId="0" applyNumberFormat="1" applyFont="1" applyFill="1" applyBorder="1" applyAlignment="1" applyProtection="1">
      <alignment/>
      <protection locked="0"/>
    </xf>
    <xf numFmtId="193" fontId="0" fillId="22" borderId="0" xfId="0" applyNumberFormat="1" applyFont="1" applyFill="1" applyBorder="1" applyAlignment="1" applyProtection="1">
      <alignment/>
      <protection locked="0"/>
    </xf>
    <xf numFmtId="193" fontId="0" fillId="22" borderId="56" xfId="0" applyNumberFormat="1" applyFont="1" applyFill="1" applyBorder="1" applyAlignment="1" applyProtection="1">
      <alignment/>
      <protection locked="0"/>
    </xf>
    <xf numFmtId="0" fontId="0" fillId="0" borderId="119" xfId="0" applyFont="1" applyBorder="1" applyAlignment="1" applyProtection="1">
      <alignment horizontal="center"/>
      <protection/>
    </xf>
    <xf numFmtId="0" fontId="0" fillId="21" borderId="120" xfId="0" applyFont="1" applyFill="1" applyBorder="1" applyAlignment="1" applyProtection="1">
      <alignment horizontal="center"/>
      <protection locked="0"/>
    </xf>
    <xf numFmtId="197" fontId="0" fillId="0" borderId="120" xfId="0" applyNumberFormat="1" applyFont="1" applyBorder="1" applyAlignment="1" applyProtection="1">
      <alignment horizontal="right"/>
      <protection/>
    </xf>
    <xf numFmtId="197" fontId="0" fillId="0" borderId="121" xfId="0" applyNumberFormat="1" applyFont="1" applyBorder="1" applyAlignment="1" applyProtection="1">
      <alignment horizontal="right"/>
      <protection/>
    </xf>
    <xf numFmtId="197" fontId="0" fillId="22" borderId="66" xfId="0" applyNumberFormat="1" applyFont="1" applyFill="1" applyBorder="1" applyAlignment="1" applyProtection="1">
      <alignment horizontal="right"/>
      <protection locked="0"/>
    </xf>
    <xf numFmtId="0" fontId="0" fillId="21" borderId="122" xfId="0" applyFont="1" applyFill="1" applyBorder="1" applyAlignment="1" applyProtection="1">
      <alignment horizontal="center"/>
      <protection locked="0"/>
    </xf>
    <xf numFmtId="197" fontId="0" fillId="22" borderId="102" xfId="0" applyNumberFormat="1" applyFont="1" applyFill="1" applyBorder="1" applyAlignment="1" applyProtection="1">
      <alignment horizontal="right"/>
      <protection locked="0"/>
    </xf>
    <xf numFmtId="0" fontId="0" fillId="0" borderId="123" xfId="0" applyFont="1" applyBorder="1" applyAlignment="1" applyProtection="1">
      <alignment horizontal="center"/>
      <protection/>
    </xf>
    <xf numFmtId="197" fontId="0" fillId="0" borderId="122" xfId="0" applyNumberFormat="1" applyFont="1" applyBorder="1" applyAlignment="1" applyProtection="1">
      <alignment horizontal="right"/>
      <protection/>
    </xf>
    <xf numFmtId="197" fontId="0" fillId="0" borderId="124" xfId="0" applyNumberFormat="1" applyFont="1" applyBorder="1" applyAlignment="1" applyProtection="1">
      <alignment horizontal="right"/>
      <protection/>
    </xf>
    <xf numFmtId="197" fontId="0" fillId="0" borderId="125" xfId="0" applyNumberFormat="1" applyFont="1" applyBorder="1" applyAlignment="1" applyProtection="1">
      <alignment horizontal="right"/>
      <protection/>
    </xf>
    <xf numFmtId="197" fontId="0" fillId="22" borderId="103" xfId="0" applyNumberFormat="1" applyFont="1" applyFill="1" applyBorder="1" applyAlignment="1" applyProtection="1">
      <alignment horizontal="right"/>
      <protection locked="0"/>
    </xf>
    <xf numFmtId="4" fontId="1" fillId="21" borderId="48" xfId="0" applyNumberFormat="1" applyFont="1" applyFill="1" applyBorder="1" applyAlignment="1" applyProtection="1">
      <alignment horizontal="center" vertical="center"/>
      <protection/>
    </xf>
    <xf numFmtId="0" fontId="25" fillId="0" borderId="43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80" xfId="0" applyFont="1" applyBorder="1" applyAlignment="1" applyProtection="1">
      <alignment/>
      <protection/>
    </xf>
    <xf numFmtId="0" fontId="27" fillId="0" borderId="12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27" fillId="0" borderId="80" xfId="0" applyFont="1" applyBorder="1" applyAlignment="1" applyProtection="1">
      <alignment horizontal="centerContinuous"/>
      <protection/>
    </xf>
    <xf numFmtId="0" fontId="25" fillId="0" borderId="84" xfId="0" applyFont="1" applyBorder="1" applyAlignment="1" applyProtection="1">
      <alignment/>
      <protection/>
    </xf>
    <xf numFmtId="0" fontId="25" fillId="0" borderId="84" xfId="0" applyFont="1" applyBorder="1" applyAlignment="1" applyProtection="1">
      <alignment horizontal="left" wrapText="1"/>
      <protection/>
    </xf>
    <xf numFmtId="0" fontId="74" fillId="0" borderId="43" xfId="0" applyFont="1" applyBorder="1" applyAlignment="1" applyProtection="1">
      <alignment horizontal="left"/>
      <protection/>
    </xf>
    <xf numFmtId="0" fontId="74" fillId="0" borderId="127" xfId="0" applyFont="1" applyBorder="1" applyAlignment="1" applyProtection="1">
      <alignment horizontal="left"/>
      <protection/>
    </xf>
    <xf numFmtId="0" fontId="27" fillId="0" borderId="8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" fillId="4" borderId="41" xfId="0" applyFont="1" applyFill="1" applyBorder="1" applyAlignment="1" applyProtection="1">
      <alignment horizontal="centerContinuous"/>
      <protection/>
    </xf>
    <xf numFmtId="0" fontId="44" fillId="0" borderId="15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79" fillId="0" borderId="15" xfId="0" applyFont="1" applyBorder="1" applyAlignment="1" applyProtection="1">
      <alignment/>
      <protection/>
    </xf>
    <xf numFmtId="0" fontId="44" fillId="0" borderId="15" xfId="0" applyFont="1" applyBorder="1" applyAlignment="1" applyProtection="1">
      <alignment/>
      <protection/>
    </xf>
    <xf numFmtId="0" fontId="44" fillId="0" borderId="58" xfId="0" applyFont="1" applyBorder="1" applyAlignment="1" applyProtection="1">
      <alignment/>
      <protection/>
    </xf>
    <xf numFmtId="0" fontId="1" fillId="4" borderId="22" xfId="0" applyFont="1" applyFill="1" applyBorder="1" applyAlignment="1" applyProtection="1">
      <alignment horizontal="centerContinuous"/>
      <protection/>
    </xf>
    <xf numFmtId="0" fontId="79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5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8" fillId="0" borderId="128" xfId="0" applyFont="1" applyBorder="1" applyAlignment="1" applyProtection="1">
      <alignment shrinkToFit="1"/>
      <protection/>
    </xf>
    <xf numFmtId="0" fontId="8" fillId="0" borderId="42" xfId="0" applyFont="1" applyBorder="1" applyAlignment="1" applyProtection="1">
      <alignment shrinkToFit="1"/>
      <protection/>
    </xf>
    <xf numFmtId="0" fontId="8" fillId="0" borderId="107" xfId="0" applyFont="1" applyBorder="1" applyAlignment="1" applyProtection="1">
      <alignment shrinkToFit="1"/>
      <protection/>
    </xf>
    <xf numFmtId="0" fontId="0" fillId="0" borderId="56" xfId="0" applyFont="1" applyBorder="1" applyAlignment="1" applyProtection="1">
      <alignment/>
      <protection/>
    </xf>
    <xf numFmtId="0" fontId="0" fillId="0" borderId="129" xfId="0" applyFont="1" applyBorder="1" applyAlignment="1" applyProtection="1">
      <alignment/>
      <protection/>
    </xf>
    <xf numFmtId="0" fontId="0" fillId="0" borderId="129" xfId="0" applyFont="1" applyBorder="1" applyAlignment="1" applyProtection="1">
      <alignment wrapText="1"/>
      <protection/>
    </xf>
    <xf numFmtId="0" fontId="0" fillId="0" borderId="88" xfId="0" applyFont="1" applyBorder="1" applyAlignment="1" applyProtection="1">
      <alignment/>
      <protection/>
    </xf>
    <xf numFmtId="0" fontId="0" fillId="0" borderId="87" xfId="0" applyBorder="1" applyAlignment="1" applyProtection="1">
      <alignment horizontal="center" wrapText="1"/>
      <protection/>
    </xf>
    <xf numFmtId="0" fontId="8" fillId="0" borderId="90" xfId="0" applyFont="1" applyBorder="1" applyAlignment="1" applyProtection="1">
      <alignment shrinkToFit="1"/>
      <protection/>
    </xf>
    <xf numFmtId="0" fontId="8" fillId="0" borderId="89" xfId="0" applyFont="1" applyBorder="1" applyAlignment="1" applyProtection="1">
      <alignment shrinkToFit="1"/>
      <protection/>
    </xf>
    <xf numFmtId="0" fontId="8" fillId="0" borderId="56" xfId="0" applyFont="1" applyBorder="1" applyAlignment="1" applyProtection="1">
      <alignment shrinkToFit="1"/>
      <protection/>
    </xf>
    <xf numFmtId="0" fontId="8" fillId="0" borderId="88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/>
      <protection/>
    </xf>
    <xf numFmtId="186" fontId="8" fillId="0" borderId="84" xfId="0" applyNumberFormat="1" applyFont="1" applyBorder="1" applyAlignment="1" applyProtection="1">
      <alignment shrinkToFit="1"/>
      <protection/>
    </xf>
    <xf numFmtId="0" fontId="0" fillId="0" borderId="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27" fillId="0" borderId="60" xfId="0" applyFont="1" applyFill="1" applyBorder="1" applyAlignment="1" applyProtection="1">
      <alignment shrinkToFit="1"/>
      <protection/>
    </xf>
    <xf numFmtId="0" fontId="25" fillId="0" borderId="52" xfId="0" applyFont="1" applyBorder="1" applyAlignment="1" applyProtection="1">
      <alignment shrinkToFit="1"/>
      <protection/>
    </xf>
    <xf numFmtId="0" fontId="25" fillId="0" borderId="130" xfId="0" applyFont="1" applyBorder="1" applyAlignment="1" applyProtection="1">
      <alignment shrinkToFit="1"/>
      <protection/>
    </xf>
    <xf numFmtId="0" fontId="25" fillId="0" borderId="131" xfId="0" applyFont="1" applyBorder="1" applyAlignment="1" applyProtection="1">
      <alignment shrinkToFit="1"/>
      <protection/>
    </xf>
    <xf numFmtId="0" fontId="25" fillId="0" borderId="52" xfId="0" applyFont="1" applyBorder="1" applyAlignment="1" applyProtection="1">
      <alignment shrinkToFit="1"/>
      <protection/>
    </xf>
    <xf numFmtId="0" fontId="25" fillId="0" borderId="25" xfId="0" applyFont="1" applyFill="1" applyBorder="1" applyAlignment="1" applyProtection="1">
      <alignment shrinkToFit="1"/>
      <protection/>
    </xf>
    <xf numFmtId="0" fontId="25" fillId="0" borderId="55" xfId="0" applyFont="1" applyFill="1" applyBorder="1" applyAlignment="1" applyProtection="1">
      <alignment vertical="center" shrinkToFit="1"/>
      <protection/>
    </xf>
    <xf numFmtId="0" fontId="25" fillId="0" borderId="26" xfId="0" applyFont="1" applyBorder="1" applyAlignment="1" applyProtection="1">
      <alignment/>
      <protection/>
    </xf>
    <xf numFmtId="0" fontId="7" fillId="0" borderId="60" xfId="0" applyFont="1" applyFill="1" applyBorder="1" applyAlignment="1" applyProtection="1">
      <alignment/>
      <protection/>
    </xf>
    <xf numFmtId="0" fontId="25" fillId="0" borderId="25" xfId="0" applyFont="1" applyBorder="1" applyAlignment="1" applyProtection="1">
      <alignment/>
      <protection/>
    </xf>
    <xf numFmtId="0" fontId="25" fillId="0" borderId="52" xfId="0" applyFont="1" applyBorder="1" applyAlignment="1" applyProtection="1">
      <alignment/>
      <protection/>
    </xf>
    <xf numFmtId="0" fontId="88" fillId="0" borderId="21" xfId="0" applyFont="1" applyBorder="1" applyAlignment="1" applyProtection="1">
      <alignment horizontal="center"/>
      <protection/>
    </xf>
    <xf numFmtId="0" fontId="25" fillId="0" borderId="130" xfId="0" applyFont="1" applyBorder="1" applyAlignment="1" applyProtection="1">
      <alignment horizontal="center"/>
      <protection/>
    </xf>
    <xf numFmtId="0" fontId="25" fillId="0" borderId="10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4" borderId="43" xfId="0" applyFont="1" applyFill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30" fillId="0" borderId="43" xfId="0" applyFont="1" applyBorder="1" applyAlignment="1" applyProtection="1">
      <alignment/>
      <protection/>
    </xf>
    <xf numFmtId="192" fontId="90" fillId="0" borderId="66" xfId="0" applyNumberFormat="1" applyFont="1" applyFill="1" applyBorder="1" applyAlignment="1" applyProtection="1">
      <alignment shrinkToFit="1"/>
      <protection/>
    </xf>
    <xf numFmtId="197" fontId="1" fillId="0" borderId="34" xfId="0" applyNumberFormat="1" applyFont="1" applyBorder="1" applyAlignment="1" applyProtection="1">
      <alignment shrinkToFit="1"/>
      <protection/>
    </xf>
    <xf numFmtId="0" fontId="25" fillId="0" borderId="0" xfId="0" applyFont="1" applyBorder="1" applyAlignment="1" applyProtection="1">
      <alignment horizontal="center" textRotation="90" wrapText="1"/>
      <protection/>
    </xf>
    <xf numFmtId="0" fontId="0" fillId="0" borderId="0" xfId="0" applyBorder="1" applyAlignment="1" applyProtection="1">
      <alignment horizontal="left"/>
      <protection/>
    </xf>
    <xf numFmtId="193" fontId="8" fillId="0" borderId="0" xfId="0" applyNumberFormat="1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 textRotation="90"/>
      <protection/>
    </xf>
    <xf numFmtId="0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197" fontId="8" fillId="0" borderId="0" xfId="0" applyNumberFormat="1" applyFont="1" applyBorder="1" applyAlignment="1" applyProtection="1">
      <alignment horizontal="right"/>
      <protection/>
    </xf>
    <xf numFmtId="0" fontId="8" fillId="0" borderId="56" xfId="0" applyFont="1" applyBorder="1" applyAlignment="1" applyProtection="1">
      <alignment horizontal="center"/>
      <protection/>
    </xf>
    <xf numFmtId="197" fontId="8" fillId="0" borderId="56" xfId="0" applyNumberFormat="1" applyFont="1" applyBorder="1" applyAlignment="1" applyProtection="1">
      <alignment horizontal="right"/>
      <protection/>
    </xf>
    <xf numFmtId="197" fontId="0" fillId="0" borderId="132" xfId="0" applyNumberFormat="1" applyFont="1" applyBorder="1" applyAlignment="1" applyProtection="1">
      <alignment horizontal="right"/>
      <protection/>
    </xf>
    <xf numFmtId="0" fontId="25" fillId="0" borderId="20" xfId="0" applyFont="1" applyBorder="1" applyAlignment="1" applyProtection="1">
      <alignment/>
      <protection/>
    </xf>
    <xf numFmtId="0" fontId="26" fillId="0" borderId="133" xfId="0" applyFont="1" applyBorder="1" applyAlignment="1" applyProtection="1">
      <alignment/>
      <protection/>
    </xf>
    <xf numFmtId="0" fontId="26" fillId="0" borderId="43" xfId="0" applyFont="1" applyBorder="1" applyAlignment="1" applyProtection="1">
      <alignment/>
      <protection/>
    </xf>
    <xf numFmtId="0" fontId="93" fillId="0" borderId="134" xfId="0" applyFont="1" applyBorder="1" applyAlignment="1" applyProtection="1">
      <alignment/>
      <protection/>
    </xf>
    <xf numFmtId="0" fontId="94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96" fillId="0" borderId="22" xfId="0" applyFont="1" applyBorder="1" applyAlignment="1" applyProtection="1">
      <alignment horizontal="right"/>
      <protection/>
    </xf>
    <xf numFmtId="0" fontId="94" fillId="0" borderId="23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25" fillId="0" borderId="12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48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25" fillId="0" borderId="48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48" xfId="0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96" fontId="1" fillId="0" borderId="34" xfId="0" applyNumberFormat="1" applyFont="1" applyBorder="1" applyAlignment="1" applyProtection="1">
      <alignment shrinkToFit="1"/>
      <protection/>
    </xf>
    <xf numFmtId="197" fontId="1" fillId="0" borderId="48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2" fillId="24" borderId="0" xfId="0" applyFont="1" applyFill="1" applyBorder="1" applyAlignment="1" applyProtection="1">
      <alignment horizontal="center" vertical="center"/>
      <protection locked="0"/>
    </xf>
    <xf numFmtId="0" fontId="32" fillId="24" borderId="33" xfId="0" applyFont="1" applyFill="1" applyBorder="1" applyAlignment="1" applyProtection="1">
      <alignment horizontal="center" vertical="center"/>
      <protection locked="0"/>
    </xf>
    <xf numFmtId="0" fontId="32" fillId="24" borderId="14" xfId="0" applyFont="1" applyFill="1" applyBorder="1" applyAlignment="1" applyProtection="1">
      <alignment horizontal="center" vertical="center"/>
      <protection locked="0"/>
    </xf>
    <xf numFmtId="0" fontId="43" fillId="24" borderId="10" xfId="0" applyFont="1" applyFill="1" applyBorder="1" applyAlignment="1" applyProtection="1">
      <alignment vertical="center"/>
      <protection locked="0"/>
    </xf>
    <xf numFmtId="0" fontId="43" fillId="24" borderId="38" xfId="0" applyFont="1" applyFill="1" applyBorder="1" applyAlignment="1" applyProtection="1">
      <alignment vertical="center"/>
      <protection locked="0"/>
    </xf>
    <xf numFmtId="0" fontId="43" fillId="24" borderId="13" xfId="0" applyFont="1" applyFill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173" fontId="11" fillId="0" borderId="33" xfId="0" applyNumberFormat="1" applyFont="1" applyBorder="1" applyAlignment="1" applyProtection="1">
      <alignment horizontal="right" vertical="center"/>
      <protection locked="0"/>
    </xf>
    <xf numFmtId="173" fontId="11" fillId="0" borderId="30" xfId="0" applyNumberFormat="1" applyFont="1" applyBorder="1" applyAlignment="1" applyProtection="1">
      <alignment horizontal="right" vertical="center"/>
      <protection locked="0"/>
    </xf>
    <xf numFmtId="174" fontId="11" fillId="0" borderId="33" xfId="0" applyNumberFormat="1" applyFont="1" applyBorder="1" applyAlignment="1" applyProtection="1">
      <alignment horizontal="right" vertical="center"/>
      <protection locked="0"/>
    </xf>
    <xf numFmtId="174" fontId="11" fillId="0" borderId="30" xfId="0" applyNumberFormat="1" applyFont="1" applyBorder="1" applyAlignment="1" applyProtection="1">
      <alignment horizontal="right" vertical="center"/>
      <protection locked="0"/>
    </xf>
    <xf numFmtId="175" fontId="11" fillId="0" borderId="33" xfId="0" applyNumberFormat="1" applyFont="1" applyBorder="1" applyAlignment="1" applyProtection="1">
      <alignment horizontal="right" vertical="center"/>
      <protection locked="0"/>
    </xf>
    <xf numFmtId="175" fontId="11" fillId="0" borderId="30" xfId="0" applyNumberFormat="1" applyFont="1" applyBorder="1" applyAlignment="1" applyProtection="1">
      <alignment horizontal="right" vertical="center"/>
      <protection locked="0"/>
    </xf>
    <xf numFmtId="173" fontId="11" fillId="0" borderId="34" xfId="0" applyNumberFormat="1" applyFont="1" applyBorder="1" applyAlignment="1" applyProtection="1">
      <alignment horizontal="right" vertical="center"/>
      <protection locked="0"/>
    </xf>
    <xf numFmtId="173" fontId="11" fillId="0" borderId="61" xfId="0" applyNumberFormat="1" applyFont="1" applyBorder="1" applyAlignment="1" applyProtection="1">
      <alignment horizontal="right" vertical="center"/>
      <protection locked="0"/>
    </xf>
    <xf numFmtId="175" fontId="11" fillId="0" borderId="36" xfId="0" applyNumberFormat="1" applyFont="1" applyBorder="1" applyAlignment="1" applyProtection="1">
      <alignment horizontal="right" vertical="center"/>
      <protection locked="0"/>
    </xf>
    <xf numFmtId="175" fontId="11" fillId="0" borderId="135" xfId="0" applyNumberFormat="1" applyFont="1" applyBorder="1" applyAlignment="1" applyProtection="1">
      <alignment horizontal="right" vertical="center"/>
      <protection locked="0"/>
    </xf>
    <xf numFmtId="173" fontId="32" fillId="0" borderId="33" xfId="0" applyNumberFormat="1" applyFont="1" applyBorder="1" applyAlignment="1" applyProtection="1">
      <alignment horizontal="right" vertical="center"/>
      <protection locked="0"/>
    </xf>
    <xf numFmtId="173" fontId="32" fillId="0" borderId="30" xfId="0" applyNumberFormat="1" applyFont="1" applyBorder="1" applyAlignment="1" applyProtection="1">
      <alignment horizontal="right" vertical="center"/>
      <protection locked="0"/>
    </xf>
    <xf numFmtId="173" fontId="32" fillId="0" borderId="36" xfId="0" applyNumberFormat="1" applyFont="1" applyBorder="1" applyAlignment="1" applyProtection="1">
      <alignment horizontal="right" vertical="center"/>
      <protection locked="0"/>
    </xf>
    <xf numFmtId="173" fontId="32" fillId="0" borderId="135" xfId="0" applyNumberFormat="1" applyFont="1" applyBorder="1" applyAlignment="1" applyProtection="1">
      <alignment horizontal="right" vertical="center"/>
      <protection locked="0"/>
    </xf>
    <xf numFmtId="175" fontId="32" fillId="0" borderId="33" xfId="0" applyNumberFormat="1" applyFont="1" applyBorder="1" applyAlignment="1" applyProtection="1">
      <alignment horizontal="right" vertical="center"/>
      <protection locked="0"/>
    </xf>
    <xf numFmtId="175" fontId="32" fillId="0" borderId="30" xfId="0" applyNumberFormat="1" applyFont="1" applyBorder="1" applyAlignment="1" applyProtection="1">
      <alignment horizontal="right" vertical="center"/>
      <protection locked="0"/>
    </xf>
    <xf numFmtId="175" fontId="32" fillId="0" borderId="36" xfId="0" applyNumberFormat="1" applyFont="1" applyBorder="1" applyAlignment="1" applyProtection="1">
      <alignment horizontal="right" vertical="center"/>
      <protection locked="0"/>
    </xf>
    <xf numFmtId="175" fontId="32" fillId="0" borderId="135" xfId="0" applyNumberFormat="1" applyFont="1" applyBorder="1" applyAlignment="1" applyProtection="1">
      <alignment horizontal="right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38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3" fontId="1" fillId="0" borderId="33" xfId="0" applyNumberFormat="1" applyFont="1" applyBorder="1" applyAlignment="1" applyProtection="1">
      <alignment horizontal="center" vertical="center"/>
      <protection/>
    </xf>
    <xf numFmtId="3" fontId="1" fillId="0" borderId="33" xfId="0" applyNumberFormat="1" applyFont="1" applyBorder="1" applyAlignment="1" applyProtection="1">
      <alignment vertical="center"/>
      <protection/>
    </xf>
    <xf numFmtId="170" fontId="1" fillId="0" borderId="33" xfId="0" applyNumberFormat="1" applyFont="1" applyBorder="1" applyAlignment="1" applyProtection="1">
      <alignment horizontal="center" vertical="center"/>
      <protection/>
    </xf>
    <xf numFmtId="3" fontId="1" fillId="0" borderId="33" xfId="0" applyNumberFormat="1" applyFont="1" applyFill="1" applyBorder="1" applyAlignment="1" applyProtection="1">
      <alignment horizontal="center" vertical="center"/>
      <protection/>
    </xf>
    <xf numFmtId="4" fontId="1" fillId="0" borderId="33" xfId="0" applyNumberFormat="1" applyFont="1" applyBorder="1" applyAlignment="1" applyProtection="1">
      <alignment horizontal="center" vertical="center"/>
      <protection/>
    </xf>
    <xf numFmtId="175" fontId="1" fillId="0" borderId="33" xfId="0" applyNumberFormat="1" applyFont="1" applyBorder="1" applyAlignment="1" applyProtection="1">
      <alignment horizontal="center" vertical="center"/>
      <protection/>
    </xf>
    <xf numFmtId="174" fontId="1" fillId="0" borderId="33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vertical="center"/>
      <protection/>
    </xf>
    <xf numFmtId="3" fontId="1" fillId="0" borderId="60" xfId="0" applyNumberFormat="1" applyFont="1" applyBorder="1" applyAlignment="1" applyProtection="1">
      <alignment vertical="center"/>
      <protection/>
    </xf>
    <xf numFmtId="3" fontId="1" fillId="0" borderId="60" xfId="0" applyNumberFormat="1" applyFont="1" applyBorder="1" applyAlignment="1" applyProtection="1">
      <alignment horizontal="center" vertical="center"/>
      <protection/>
    </xf>
    <xf numFmtId="3" fontId="1" fillId="0" borderId="36" xfId="0" applyNumberFormat="1" applyFont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34" xfId="0" applyNumberFormat="1" applyFont="1" applyFill="1" applyBorder="1" applyAlignment="1" applyProtection="1">
      <alignment vertical="center"/>
      <protection/>
    </xf>
    <xf numFmtId="3" fontId="1" fillId="0" borderId="34" xfId="0" applyNumberFormat="1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horizontal="centerContinuous" vertical="center"/>
      <protection locked="0"/>
    </xf>
    <xf numFmtId="0" fontId="41" fillId="24" borderId="0" xfId="0" applyFont="1" applyFill="1" applyBorder="1" applyAlignment="1" applyProtection="1">
      <alignment horizontal="centerContinuous" vertical="center"/>
      <protection locked="0"/>
    </xf>
    <xf numFmtId="0" fontId="41" fillId="24" borderId="14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184" fontId="4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84" fillId="0" borderId="0" xfId="0" applyFont="1" applyBorder="1" applyAlignment="1">
      <alignment horizontal="center"/>
    </xf>
    <xf numFmtId="3" fontId="26" fillId="6" borderId="136" xfId="0" applyNumberFormat="1" applyFont="1" applyFill="1" applyBorder="1" applyAlignment="1">
      <alignment horizontal="center" shrinkToFit="1"/>
    </xf>
    <xf numFmtId="3" fontId="26" fillId="6" borderId="137" xfId="0" applyNumberFormat="1" applyFont="1" applyFill="1" applyBorder="1" applyAlignment="1">
      <alignment horizontal="center" shrinkToFit="1"/>
    </xf>
    <xf numFmtId="0" fontId="11" fillId="20" borderId="36" xfId="0" applyFont="1" applyFill="1" applyBorder="1" applyAlignment="1" applyProtection="1">
      <alignment horizontal="center" vertical="center" wrapText="1"/>
      <protection/>
    </xf>
    <xf numFmtId="0" fontId="11" fillId="20" borderId="34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 wrapText="1"/>
      <protection/>
    </xf>
    <xf numFmtId="0" fontId="11" fillId="20" borderId="19" xfId="0" applyFont="1" applyFill="1" applyBorder="1" applyAlignment="1" applyProtection="1">
      <alignment horizontal="center" vertical="center"/>
      <protection/>
    </xf>
    <xf numFmtId="0" fontId="11" fillId="20" borderId="20" xfId="0" applyFont="1" applyFill="1" applyBorder="1" applyAlignment="1" applyProtection="1">
      <alignment horizontal="center" vertical="center"/>
      <protection/>
    </xf>
    <xf numFmtId="0" fontId="11" fillId="20" borderId="17" xfId="0" applyFont="1" applyFill="1" applyBorder="1" applyAlignment="1" applyProtection="1">
      <alignment horizontal="center" vertical="center"/>
      <protection/>
    </xf>
    <xf numFmtId="0" fontId="11" fillId="20" borderId="18" xfId="0" applyFont="1" applyFill="1" applyBorder="1" applyAlignment="1" applyProtection="1">
      <alignment horizontal="center" vertical="center"/>
      <protection/>
    </xf>
    <xf numFmtId="0" fontId="11" fillId="20" borderId="36" xfId="0" applyFont="1" applyFill="1" applyBorder="1" applyAlignment="1" applyProtection="1">
      <alignment horizontal="center" vertical="center"/>
      <protection/>
    </xf>
    <xf numFmtId="0" fontId="11" fillId="20" borderId="34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2" fontId="19" fillId="24" borderId="36" xfId="42" applyNumberFormat="1" applyFont="1" applyFill="1" applyBorder="1" applyAlignment="1" applyProtection="1">
      <alignment horizontal="center" vertical="center"/>
      <protection/>
    </xf>
    <xf numFmtId="2" fontId="19" fillId="24" borderId="34" xfId="42" applyNumberFormat="1" applyFont="1" applyFill="1" applyBorder="1" applyAlignment="1" applyProtection="1">
      <alignment horizontal="center" vertical="center"/>
      <protection/>
    </xf>
    <xf numFmtId="0" fontId="1" fillId="21" borderId="43" xfId="0" applyFont="1" applyFill="1" applyBorder="1" applyAlignment="1" applyProtection="1">
      <alignment horizontal="left" vertical="center"/>
      <protection locked="0"/>
    </xf>
    <xf numFmtId="14" fontId="1" fillId="21" borderId="43" xfId="0" applyNumberFormat="1" applyFont="1" applyFill="1" applyBorder="1" applyAlignment="1" applyProtection="1">
      <alignment horizontal="center" vertical="center"/>
      <protection locked="0"/>
    </xf>
    <xf numFmtId="1" fontId="1" fillId="21" borderId="43" xfId="0" applyNumberFormat="1" applyFont="1" applyFill="1" applyBorder="1" applyAlignment="1" applyProtection="1">
      <alignment horizontal="center" vertical="center"/>
      <protection locked="0"/>
    </xf>
    <xf numFmtId="0" fontId="1" fillId="26" borderId="43" xfId="0" applyFont="1" applyFill="1" applyBorder="1" applyAlignment="1" applyProtection="1">
      <alignment horizontal="left" vertical="center"/>
      <protection locked="0"/>
    </xf>
    <xf numFmtId="3" fontId="8" fillId="21" borderId="0" xfId="0" applyNumberFormat="1" applyFont="1" applyFill="1" applyBorder="1" applyAlignment="1" applyProtection="1">
      <alignment horizontal="center"/>
      <protection locked="0"/>
    </xf>
    <xf numFmtId="3" fontId="8" fillId="22" borderId="56" xfId="0" applyNumberFormat="1" applyFont="1" applyFill="1" applyBorder="1" applyAlignment="1" applyProtection="1">
      <alignment horizontal="center"/>
      <protection locked="0"/>
    </xf>
    <xf numFmtId="0" fontId="84" fillId="0" borderId="16" xfId="0" applyFont="1" applyBorder="1" applyAlignment="1">
      <alignment horizontal="center"/>
    </xf>
    <xf numFmtId="0" fontId="84" fillId="0" borderId="138" xfId="0" applyFont="1" applyBorder="1" applyAlignment="1">
      <alignment horizontal="center"/>
    </xf>
    <xf numFmtId="0" fontId="84" fillId="0" borderId="139" xfId="0" applyFont="1" applyBorder="1" applyAlignment="1">
      <alignment horizontal="center"/>
    </xf>
    <xf numFmtId="0" fontId="30" fillId="0" borderId="22" xfId="0" applyFont="1" applyBorder="1" applyAlignment="1" applyProtection="1">
      <alignment vertical="center" wrapText="1"/>
      <protection/>
    </xf>
    <xf numFmtId="0" fontId="30" fillId="0" borderId="76" xfId="0" applyFont="1" applyBorder="1" applyAlignment="1" applyProtection="1">
      <alignment vertical="center" wrapText="1"/>
      <protection/>
    </xf>
    <xf numFmtId="3" fontId="26" fillId="0" borderId="140" xfId="0" applyNumberFormat="1" applyFont="1" applyFill="1" applyBorder="1" applyAlignment="1" applyProtection="1">
      <alignment horizontal="center" shrinkToFit="1"/>
      <protection/>
    </xf>
    <xf numFmtId="3" fontId="26" fillId="0" borderId="137" xfId="0" applyNumberFormat="1" applyFont="1" applyFill="1" applyBorder="1" applyAlignment="1" applyProtection="1">
      <alignment horizontal="center" shrinkToFit="1"/>
      <protection/>
    </xf>
    <xf numFmtId="0" fontId="74" fillId="0" borderId="0" xfId="0" applyFont="1" applyFill="1" applyAlignment="1">
      <alignment wrapText="1"/>
    </xf>
    <xf numFmtId="3" fontId="26" fillId="0" borderId="141" xfId="0" applyNumberFormat="1" applyFont="1" applyFill="1" applyBorder="1" applyAlignment="1" applyProtection="1">
      <alignment horizontal="center" shrinkToFit="1"/>
      <protection/>
    </xf>
    <xf numFmtId="3" fontId="26" fillId="0" borderId="142" xfId="0" applyNumberFormat="1" applyFont="1" applyFill="1" applyBorder="1" applyAlignment="1" applyProtection="1">
      <alignment horizontal="center" shrinkToFit="1"/>
      <protection/>
    </xf>
    <xf numFmtId="0" fontId="25" fillId="27" borderId="30" xfId="0" applyFont="1" applyFill="1" applyBorder="1" applyAlignment="1" applyProtection="1">
      <alignment horizontal="center" textRotation="90" wrapText="1"/>
      <protection/>
    </xf>
    <xf numFmtId="0" fontId="25" fillId="27" borderId="30" xfId="0" applyFont="1" applyFill="1" applyBorder="1" applyAlignment="1" applyProtection="1">
      <alignment horizontal="center" textRotation="90"/>
      <protection/>
    </xf>
    <xf numFmtId="3" fontId="8" fillId="0" borderId="90" xfId="0" applyNumberFormat="1" applyFont="1" applyFill="1" applyBorder="1" applyAlignment="1" applyProtection="1">
      <alignment horizontal="center"/>
      <protection/>
    </xf>
    <xf numFmtId="3" fontId="8" fillId="0" borderId="109" xfId="0" applyNumberFormat="1" applyFont="1" applyFill="1" applyBorder="1" applyAlignment="1" applyProtection="1">
      <alignment horizontal="center"/>
      <protection/>
    </xf>
    <xf numFmtId="0" fontId="44" fillId="0" borderId="40" xfId="0" applyFont="1" applyBorder="1" applyAlignment="1" applyProtection="1">
      <alignment horizontal="center" wrapText="1"/>
      <protection/>
    </xf>
    <xf numFmtId="3" fontId="8" fillId="0" borderId="126" xfId="0" applyNumberFormat="1" applyFont="1" applyFill="1" applyBorder="1" applyAlignment="1" applyProtection="1">
      <alignment horizontal="center" wrapText="1"/>
      <protection/>
    </xf>
    <xf numFmtId="3" fontId="8" fillId="0" borderId="0" xfId="0" applyNumberFormat="1" applyFont="1" applyFill="1" applyBorder="1" applyAlignment="1" applyProtection="1">
      <alignment horizontal="center" wrapText="1"/>
      <protection/>
    </xf>
    <xf numFmtId="3" fontId="8" fillId="0" borderId="108" xfId="0" applyNumberFormat="1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25" fillId="0" borderId="143" xfId="0" applyFont="1" applyBorder="1" applyAlignment="1" applyProtection="1">
      <alignment wrapText="1"/>
      <protection/>
    </xf>
    <xf numFmtId="0" fontId="25" fillId="0" borderId="132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/>
      <protection/>
    </xf>
    <xf numFmtId="37" fontId="0" fillId="21" borderId="41" xfId="0" applyNumberFormat="1" applyFill="1" applyBorder="1" applyAlignment="1" applyProtection="1">
      <alignment shrinkToFit="1"/>
      <protection locked="0"/>
    </xf>
    <xf numFmtId="37" fontId="0" fillId="21" borderId="76" xfId="0" applyNumberFormat="1" applyFill="1" applyBorder="1" applyAlignment="1" applyProtection="1">
      <alignment shrinkToFit="1"/>
      <protection locked="0"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44" xfId="0" applyNumberFormat="1" applyFont="1" applyFill="1" applyBorder="1" applyAlignment="1" applyProtection="1">
      <alignment horizontal="right" vertical="center"/>
      <protection/>
    </xf>
    <xf numFmtId="187" fontId="0" fillId="0" borderId="145" xfId="0" applyNumberFormat="1" applyFont="1" applyFill="1" applyBorder="1" applyAlignment="1" applyProtection="1">
      <alignment horizontal="right" vertical="center"/>
      <protection/>
    </xf>
    <xf numFmtId="173" fontId="1" fillId="0" borderId="71" xfId="0" applyNumberFormat="1" applyFont="1" applyFill="1" applyBorder="1" applyAlignment="1" applyProtection="1">
      <alignment horizontal="center" vertical="center"/>
      <protection/>
    </xf>
    <xf numFmtId="173" fontId="1" fillId="0" borderId="146" xfId="0" applyNumberFormat="1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87" fontId="0" fillId="0" borderId="19" xfId="0" applyNumberFormat="1" applyFont="1" applyFill="1" applyBorder="1" applyAlignment="1" applyProtection="1">
      <alignment horizontal="right" vertical="center"/>
      <protection/>
    </xf>
    <xf numFmtId="187" fontId="0" fillId="0" borderId="20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_DB SB ( Bsp.)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">
    <dxf>
      <border/>
    </dxf>
    <dxf>
      <font>
        <b/>
        <i/>
        <color rgb="FFFF0000"/>
      </font>
      <border/>
    </dxf>
    <dxf>
      <font>
        <b/>
        <i val="0"/>
        <color rgb="FFFF0000"/>
      </font>
      <fill>
        <patternFill>
          <bgColor rgb="FF69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DB-Milchvieh'!A1" /><Relationship Id="rId2" Type="http://schemas.openxmlformats.org/officeDocument/2006/relationships/hyperlink" Target="#Investition!C6" /><Relationship Id="rId3" Type="http://schemas.openxmlformats.org/officeDocument/2006/relationships/hyperlink" Target="#Finanzierung!A1" /><Relationship Id="rId4" Type="http://schemas.openxmlformats.org/officeDocument/2006/relationships/hyperlink" Target="#Ergebnis!A1" /><Relationship Id="rId5" Type="http://schemas.openxmlformats.org/officeDocument/2006/relationships/hyperlink" Target="#Vergleich!A1" /><Relationship Id="rId6" Type="http://schemas.openxmlformats.org/officeDocument/2006/relationships/hyperlink" Target="#Betriebsdaten!A1" /><Relationship Id="rId7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inweise!A73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Hinweise!A126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Hinweise!A15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Hinweise!A17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Hinweise!A228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Hinweise!A282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48</xdr:row>
      <xdr:rowOff>57150</xdr:rowOff>
    </xdr:from>
    <xdr:to>
      <xdr:col>1</xdr:col>
      <xdr:colOff>352425</xdr:colOff>
      <xdr:row>48</xdr:row>
      <xdr:rowOff>142875</xdr:rowOff>
    </xdr:to>
    <xdr:sp>
      <xdr:nvSpPr>
        <xdr:cNvPr id="1" name="Oval 15"/>
        <xdr:cNvSpPr>
          <a:spLocks/>
        </xdr:cNvSpPr>
      </xdr:nvSpPr>
      <xdr:spPr>
        <a:xfrm>
          <a:off x="381000" y="93821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49</xdr:row>
      <xdr:rowOff>57150</xdr:rowOff>
    </xdr:from>
    <xdr:to>
      <xdr:col>1</xdr:col>
      <xdr:colOff>352425</xdr:colOff>
      <xdr:row>49</xdr:row>
      <xdr:rowOff>142875</xdr:rowOff>
    </xdr:to>
    <xdr:sp>
      <xdr:nvSpPr>
        <xdr:cNvPr id="2" name="Oval 16"/>
        <xdr:cNvSpPr>
          <a:spLocks/>
        </xdr:cNvSpPr>
      </xdr:nvSpPr>
      <xdr:spPr>
        <a:xfrm>
          <a:off x="381000" y="95726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51</xdr:row>
      <xdr:rowOff>47625</xdr:rowOff>
    </xdr:from>
    <xdr:to>
      <xdr:col>1</xdr:col>
      <xdr:colOff>352425</xdr:colOff>
      <xdr:row>51</xdr:row>
      <xdr:rowOff>133350</xdr:rowOff>
    </xdr:to>
    <xdr:sp>
      <xdr:nvSpPr>
        <xdr:cNvPr id="3" name="Oval 18"/>
        <xdr:cNvSpPr>
          <a:spLocks/>
        </xdr:cNvSpPr>
      </xdr:nvSpPr>
      <xdr:spPr>
        <a:xfrm>
          <a:off x="381000" y="99441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57150</xdr:rowOff>
    </xdr:from>
    <xdr:to>
      <xdr:col>1</xdr:col>
      <xdr:colOff>352425</xdr:colOff>
      <xdr:row>63</xdr:row>
      <xdr:rowOff>142875</xdr:rowOff>
    </xdr:to>
    <xdr:sp>
      <xdr:nvSpPr>
        <xdr:cNvPr id="4" name="Oval 22"/>
        <xdr:cNvSpPr>
          <a:spLocks/>
        </xdr:cNvSpPr>
      </xdr:nvSpPr>
      <xdr:spPr>
        <a:xfrm>
          <a:off x="381000" y="125158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65</xdr:row>
      <xdr:rowOff>57150</xdr:rowOff>
    </xdr:from>
    <xdr:to>
      <xdr:col>1</xdr:col>
      <xdr:colOff>352425</xdr:colOff>
      <xdr:row>65</xdr:row>
      <xdr:rowOff>142875</xdr:rowOff>
    </xdr:to>
    <xdr:sp>
      <xdr:nvSpPr>
        <xdr:cNvPr id="5" name="Oval 23"/>
        <xdr:cNvSpPr>
          <a:spLocks/>
        </xdr:cNvSpPr>
      </xdr:nvSpPr>
      <xdr:spPr>
        <a:xfrm>
          <a:off x="381000" y="128968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70</xdr:row>
      <xdr:rowOff>57150</xdr:rowOff>
    </xdr:from>
    <xdr:to>
      <xdr:col>1</xdr:col>
      <xdr:colOff>352425</xdr:colOff>
      <xdr:row>70</xdr:row>
      <xdr:rowOff>142875</xdr:rowOff>
    </xdr:to>
    <xdr:sp>
      <xdr:nvSpPr>
        <xdr:cNvPr id="6" name="Oval 25"/>
        <xdr:cNvSpPr>
          <a:spLocks/>
        </xdr:cNvSpPr>
      </xdr:nvSpPr>
      <xdr:spPr>
        <a:xfrm>
          <a:off x="381000" y="138112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144</xdr:row>
      <xdr:rowOff>57150</xdr:rowOff>
    </xdr:from>
    <xdr:to>
      <xdr:col>1</xdr:col>
      <xdr:colOff>352425</xdr:colOff>
      <xdr:row>144</xdr:row>
      <xdr:rowOff>142875</xdr:rowOff>
    </xdr:to>
    <xdr:sp>
      <xdr:nvSpPr>
        <xdr:cNvPr id="7" name="Oval 26"/>
        <xdr:cNvSpPr>
          <a:spLocks/>
        </xdr:cNvSpPr>
      </xdr:nvSpPr>
      <xdr:spPr>
        <a:xfrm>
          <a:off x="381000" y="28270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75</xdr:row>
      <xdr:rowOff>57150</xdr:rowOff>
    </xdr:from>
    <xdr:to>
      <xdr:col>1</xdr:col>
      <xdr:colOff>352425</xdr:colOff>
      <xdr:row>75</xdr:row>
      <xdr:rowOff>142875</xdr:rowOff>
    </xdr:to>
    <xdr:sp>
      <xdr:nvSpPr>
        <xdr:cNvPr id="8" name="Oval 27"/>
        <xdr:cNvSpPr>
          <a:spLocks/>
        </xdr:cNvSpPr>
      </xdr:nvSpPr>
      <xdr:spPr>
        <a:xfrm>
          <a:off x="381000" y="147256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76</xdr:row>
      <xdr:rowOff>57150</xdr:rowOff>
    </xdr:from>
    <xdr:to>
      <xdr:col>1</xdr:col>
      <xdr:colOff>352425</xdr:colOff>
      <xdr:row>76</xdr:row>
      <xdr:rowOff>142875</xdr:rowOff>
    </xdr:to>
    <xdr:sp>
      <xdr:nvSpPr>
        <xdr:cNvPr id="9" name="Oval 29"/>
        <xdr:cNvSpPr>
          <a:spLocks/>
        </xdr:cNvSpPr>
      </xdr:nvSpPr>
      <xdr:spPr>
        <a:xfrm>
          <a:off x="381000" y="149161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78</xdr:row>
      <xdr:rowOff>57150</xdr:rowOff>
    </xdr:from>
    <xdr:to>
      <xdr:col>1</xdr:col>
      <xdr:colOff>352425</xdr:colOff>
      <xdr:row>78</xdr:row>
      <xdr:rowOff>142875</xdr:rowOff>
    </xdr:to>
    <xdr:sp>
      <xdr:nvSpPr>
        <xdr:cNvPr id="10" name="Oval 30"/>
        <xdr:cNvSpPr>
          <a:spLocks/>
        </xdr:cNvSpPr>
      </xdr:nvSpPr>
      <xdr:spPr>
        <a:xfrm>
          <a:off x="381000" y="152971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99</xdr:row>
      <xdr:rowOff>57150</xdr:rowOff>
    </xdr:from>
    <xdr:to>
      <xdr:col>1</xdr:col>
      <xdr:colOff>352425</xdr:colOff>
      <xdr:row>99</xdr:row>
      <xdr:rowOff>142875</xdr:rowOff>
    </xdr:to>
    <xdr:sp>
      <xdr:nvSpPr>
        <xdr:cNvPr id="11" name="Oval 31"/>
        <xdr:cNvSpPr>
          <a:spLocks/>
        </xdr:cNvSpPr>
      </xdr:nvSpPr>
      <xdr:spPr>
        <a:xfrm>
          <a:off x="381000" y="194310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107</xdr:row>
      <xdr:rowOff>57150</xdr:rowOff>
    </xdr:from>
    <xdr:to>
      <xdr:col>1</xdr:col>
      <xdr:colOff>352425</xdr:colOff>
      <xdr:row>107</xdr:row>
      <xdr:rowOff>142875</xdr:rowOff>
    </xdr:to>
    <xdr:sp>
      <xdr:nvSpPr>
        <xdr:cNvPr id="12" name="Oval 33"/>
        <xdr:cNvSpPr>
          <a:spLocks/>
        </xdr:cNvSpPr>
      </xdr:nvSpPr>
      <xdr:spPr>
        <a:xfrm>
          <a:off x="381000" y="209169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108</xdr:row>
      <xdr:rowOff>57150</xdr:rowOff>
    </xdr:from>
    <xdr:to>
      <xdr:col>1</xdr:col>
      <xdr:colOff>352425</xdr:colOff>
      <xdr:row>108</xdr:row>
      <xdr:rowOff>142875</xdr:rowOff>
    </xdr:to>
    <xdr:sp>
      <xdr:nvSpPr>
        <xdr:cNvPr id="13" name="Oval 34"/>
        <xdr:cNvSpPr>
          <a:spLocks/>
        </xdr:cNvSpPr>
      </xdr:nvSpPr>
      <xdr:spPr>
        <a:xfrm>
          <a:off x="381000" y="211074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117</xdr:row>
      <xdr:rowOff>57150</xdr:rowOff>
    </xdr:from>
    <xdr:to>
      <xdr:col>1</xdr:col>
      <xdr:colOff>352425</xdr:colOff>
      <xdr:row>117</xdr:row>
      <xdr:rowOff>142875</xdr:rowOff>
    </xdr:to>
    <xdr:sp>
      <xdr:nvSpPr>
        <xdr:cNvPr id="14" name="Oval 35"/>
        <xdr:cNvSpPr>
          <a:spLocks/>
        </xdr:cNvSpPr>
      </xdr:nvSpPr>
      <xdr:spPr>
        <a:xfrm>
          <a:off x="381000" y="229743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159</xdr:row>
      <xdr:rowOff>57150</xdr:rowOff>
    </xdr:from>
    <xdr:to>
      <xdr:col>1</xdr:col>
      <xdr:colOff>352425</xdr:colOff>
      <xdr:row>159</xdr:row>
      <xdr:rowOff>142875</xdr:rowOff>
    </xdr:to>
    <xdr:sp>
      <xdr:nvSpPr>
        <xdr:cNvPr id="15" name="Oval 36"/>
        <xdr:cNvSpPr>
          <a:spLocks/>
        </xdr:cNvSpPr>
      </xdr:nvSpPr>
      <xdr:spPr>
        <a:xfrm>
          <a:off x="381000" y="31318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166</xdr:row>
      <xdr:rowOff>57150</xdr:rowOff>
    </xdr:from>
    <xdr:to>
      <xdr:col>1</xdr:col>
      <xdr:colOff>352425</xdr:colOff>
      <xdr:row>166</xdr:row>
      <xdr:rowOff>142875</xdr:rowOff>
    </xdr:to>
    <xdr:sp>
      <xdr:nvSpPr>
        <xdr:cNvPr id="16" name="Oval 37"/>
        <xdr:cNvSpPr>
          <a:spLocks/>
        </xdr:cNvSpPr>
      </xdr:nvSpPr>
      <xdr:spPr>
        <a:xfrm>
          <a:off x="381000" y="32023050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171</xdr:row>
      <xdr:rowOff>57150</xdr:rowOff>
    </xdr:from>
    <xdr:to>
      <xdr:col>1</xdr:col>
      <xdr:colOff>352425</xdr:colOff>
      <xdr:row>171</xdr:row>
      <xdr:rowOff>142875</xdr:rowOff>
    </xdr:to>
    <xdr:sp>
      <xdr:nvSpPr>
        <xdr:cNvPr id="17" name="Oval 39"/>
        <xdr:cNvSpPr>
          <a:spLocks/>
        </xdr:cNvSpPr>
      </xdr:nvSpPr>
      <xdr:spPr>
        <a:xfrm>
          <a:off x="381000" y="326136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181</xdr:row>
      <xdr:rowOff>57150</xdr:rowOff>
    </xdr:from>
    <xdr:to>
      <xdr:col>1</xdr:col>
      <xdr:colOff>352425</xdr:colOff>
      <xdr:row>181</xdr:row>
      <xdr:rowOff>142875</xdr:rowOff>
    </xdr:to>
    <xdr:sp>
      <xdr:nvSpPr>
        <xdr:cNvPr id="18" name="Oval 41"/>
        <xdr:cNvSpPr>
          <a:spLocks/>
        </xdr:cNvSpPr>
      </xdr:nvSpPr>
      <xdr:spPr>
        <a:xfrm>
          <a:off x="381000" y="344805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190</xdr:row>
      <xdr:rowOff>57150</xdr:rowOff>
    </xdr:from>
    <xdr:to>
      <xdr:col>1</xdr:col>
      <xdr:colOff>352425</xdr:colOff>
      <xdr:row>190</xdr:row>
      <xdr:rowOff>142875</xdr:rowOff>
    </xdr:to>
    <xdr:sp>
      <xdr:nvSpPr>
        <xdr:cNvPr id="19" name="Oval 43"/>
        <xdr:cNvSpPr>
          <a:spLocks/>
        </xdr:cNvSpPr>
      </xdr:nvSpPr>
      <xdr:spPr>
        <a:xfrm>
          <a:off x="381000" y="359283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210</xdr:row>
      <xdr:rowOff>57150</xdr:rowOff>
    </xdr:from>
    <xdr:to>
      <xdr:col>1</xdr:col>
      <xdr:colOff>352425</xdr:colOff>
      <xdr:row>210</xdr:row>
      <xdr:rowOff>142875</xdr:rowOff>
    </xdr:to>
    <xdr:sp>
      <xdr:nvSpPr>
        <xdr:cNvPr id="20" name="Oval 45"/>
        <xdr:cNvSpPr>
          <a:spLocks/>
        </xdr:cNvSpPr>
      </xdr:nvSpPr>
      <xdr:spPr>
        <a:xfrm>
          <a:off x="381000" y="396240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195</xdr:row>
      <xdr:rowOff>57150</xdr:rowOff>
    </xdr:from>
    <xdr:to>
      <xdr:col>1</xdr:col>
      <xdr:colOff>352425</xdr:colOff>
      <xdr:row>195</xdr:row>
      <xdr:rowOff>142875</xdr:rowOff>
    </xdr:to>
    <xdr:sp>
      <xdr:nvSpPr>
        <xdr:cNvPr id="21" name="Oval 46"/>
        <xdr:cNvSpPr>
          <a:spLocks/>
        </xdr:cNvSpPr>
      </xdr:nvSpPr>
      <xdr:spPr>
        <a:xfrm>
          <a:off x="381000" y="368427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197</xdr:row>
      <xdr:rowOff>66675</xdr:rowOff>
    </xdr:from>
    <xdr:to>
      <xdr:col>1</xdr:col>
      <xdr:colOff>352425</xdr:colOff>
      <xdr:row>197</xdr:row>
      <xdr:rowOff>152400</xdr:rowOff>
    </xdr:to>
    <xdr:sp>
      <xdr:nvSpPr>
        <xdr:cNvPr id="22" name="Oval 47"/>
        <xdr:cNvSpPr>
          <a:spLocks/>
        </xdr:cNvSpPr>
      </xdr:nvSpPr>
      <xdr:spPr>
        <a:xfrm>
          <a:off x="381000" y="372332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198</xdr:row>
      <xdr:rowOff>66675</xdr:rowOff>
    </xdr:from>
    <xdr:to>
      <xdr:col>1</xdr:col>
      <xdr:colOff>352425</xdr:colOff>
      <xdr:row>198</xdr:row>
      <xdr:rowOff>152400</xdr:rowOff>
    </xdr:to>
    <xdr:sp>
      <xdr:nvSpPr>
        <xdr:cNvPr id="23" name="Oval 48"/>
        <xdr:cNvSpPr>
          <a:spLocks/>
        </xdr:cNvSpPr>
      </xdr:nvSpPr>
      <xdr:spPr>
        <a:xfrm>
          <a:off x="381000" y="374237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202</xdr:row>
      <xdr:rowOff>66675</xdr:rowOff>
    </xdr:from>
    <xdr:to>
      <xdr:col>1</xdr:col>
      <xdr:colOff>352425</xdr:colOff>
      <xdr:row>202</xdr:row>
      <xdr:rowOff>142875</xdr:rowOff>
    </xdr:to>
    <xdr:sp>
      <xdr:nvSpPr>
        <xdr:cNvPr id="24" name="Oval 49"/>
        <xdr:cNvSpPr>
          <a:spLocks/>
        </xdr:cNvSpPr>
      </xdr:nvSpPr>
      <xdr:spPr>
        <a:xfrm>
          <a:off x="381000" y="3818572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266700</xdr:colOff>
      <xdr:row>206</xdr:row>
      <xdr:rowOff>57150</xdr:rowOff>
    </xdr:from>
    <xdr:to>
      <xdr:col>1</xdr:col>
      <xdr:colOff>352425</xdr:colOff>
      <xdr:row>206</xdr:row>
      <xdr:rowOff>142875</xdr:rowOff>
    </xdr:to>
    <xdr:sp>
      <xdr:nvSpPr>
        <xdr:cNvPr id="25" name="Oval 50"/>
        <xdr:cNvSpPr>
          <a:spLocks/>
        </xdr:cNvSpPr>
      </xdr:nvSpPr>
      <xdr:spPr>
        <a:xfrm>
          <a:off x="381000" y="389001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221</xdr:row>
      <xdr:rowOff>57150</xdr:rowOff>
    </xdr:from>
    <xdr:to>
      <xdr:col>1</xdr:col>
      <xdr:colOff>352425</xdr:colOff>
      <xdr:row>221</xdr:row>
      <xdr:rowOff>142875</xdr:rowOff>
    </xdr:to>
    <xdr:sp>
      <xdr:nvSpPr>
        <xdr:cNvPr id="26" name="Oval 51"/>
        <xdr:cNvSpPr>
          <a:spLocks/>
        </xdr:cNvSpPr>
      </xdr:nvSpPr>
      <xdr:spPr>
        <a:xfrm>
          <a:off x="381000" y="418338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225</xdr:row>
      <xdr:rowOff>57150</xdr:rowOff>
    </xdr:from>
    <xdr:to>
      <xdr:col>1</xdr:col>
      <xdr:colOff>352425</xdr:colOff>
      <xdr:row>225</xdr:row>
      <xdr:rowOff>142875</xdr:rowOff>
    </xdr:to>
    <xdr:sp>
      <xdr:nvSpPr>
        <xdr:cNvPr id="27" name="Oval 52"/>
        <xdr:cNvSpPr>
          <a:spLocks/>
        </xdr:cNvSpPr>
      </xdr:nvSpPr>
      <xdr:spPr>
        <a:xfrm>
          <a:off x="381000" y="425577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262</xdr:row>
      <xdr:rowOff>57150</xdr:rowOff>
    </xdr:from>
    <xdr:to>
      <xdr:col>1</xdr:col>
      <xdr:colOff>352425</xdr:colOff>
      <xdr:row>262</xdr:row>
      <xdr:rowOff>142875</xdr:rowOff>
    </xdr:to>
    <xdr:sp>
      <xdr:nvSpPr>
        <xdr:cNvPr id="28" name="Oval 57"/>
        <xdr:cNvSpPr>
          <a:spLocks/>
        </xdr:cNvSpPr>
      </xdr:nvSpPr>
      <xdr:spPr>
        <a:xfrm>
          <a:off x="381000" y="506063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267</xdr:row>
      <xdr:rowOff>57150</xdr:rowOff>
    </xdr:from>
    <xdr:to>
      <xdr:col>1</xdr:col>
      <xdr:colOff>352425</xdr:colOff>
      <xdr:row>267</xdr:row>
      <xdr:rowOff>142875</xdr:rowOff>
    </xdr:to>
    <xdr:sp>
      <xdr:nvSpPr>
        <xdr:cNvPr id="29" name="Oval 58"/>
        <xdr:cNvSpPr>
          <a:spLocks/>
        </xdr:cNvSpPr>
      </xdr:nvSpPr>
      <xdr:spPr>
        <a:xfrm>
          <a:off x="381000" y="517493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282</xdr:row>
      <xdr:rowOff>57150</xdr:rowOff>
    </xdr:from>
    <xdr:to>
      <xdr:col>1</xdr:col>
      <xdr:colOff>352425</xdr:colOff>
      <xdr:row>282</xdr:row>
      <xdr:rowOff>142875</xdr:rowOff>
    </xdr:to>
    <xdr:sp>
      <xdr:nvSpPr>
        <xdr:cNvPr id="30" name="Oval 59"/>
        <xdr:cNvSpPr>
          <a:spLocks/>
        </xdr:cNvSpPr>
      </xdr:nvSpPr>
      <xdr:spPr>
        <a:xfrm>
          <a:off x="381000" y="546068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109</xdr:row>
      <xdr:rowOff>57150</xdr:rowOff>
    </xdr:from>
    <xdr:to>
      <xdr:col>1</xdr:col>
      <xdr:colOff>352425</xdr:colOff>
      <xdr:row>109</xdr:row>
      <xdr:rowOff>142875</xdr:rowOff>
    </xdr:to>
    <xdr:sp>
      <xdr:nvSpPr>
        <xdr:cNvPr id="31" name="Oval 67"/>
        <xdr:cNvSpPr>
          <a:spLocks/>
        </xdr:cNvSpPr>
      </xdr:nvSpPr>
      <xdr:spPr>
        <a:xfrm>
          <a:off x="381000" y="212979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119</xdr:row>
      <xdr:rowOff>57150</xdr:rowOff>
    </xdr:from>
    <xdr:to>
      <xdr:col>1</xdr:col>
      <xdr:colOff>352425</xdr:colOff>
      <xdr:row>119</xdr:row>
      <xdr:rowOff>142875</xdr:rowOff>
    </xdr:to>
    <xdr:sp>
      <xdr:nvSpPr>
        <xdr:cNvPr id="32" name="Oval 68"/>
        <xdr:cNvSpPr>
          <a:spLocks/>
        </xdr:cNvSpPr>
      </xdr:nvSpPr>
      <xdr:spPr>
        <a:xfrm>
          <a:off x="381000" y="233553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131</xdr:row>
      <xdr:rowOff>57150</xdr:rowOff>
    </xdr:from>
    <xdr:to>
      <xdr:col>1</xdr:col>
      <xdr:colOff>352425</xdr:colOff>
      <xdr:row>131</xdr:row>
      <xdr:rowOff>142875</xdr:rowOff>
    </xdr:to>
    <xdr:sp>
      <xdr:nvSpPr>
        <xdr:cNvPr id="33" name="Oval 73"/>
        <xdr:cNvSpPr>
          <a:spLocks/>
        </xdr:cNvSpPr>
      </xdr:nvSpPr>
      <xdr:spPr>
        <a:xfrm>
          <a:off x="381000" y="25603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133</xdr:row>
      <xdr:rowOff>57150</xdr:rowOff>
    </xdr:from>
    <xdr:to>
      <xdr:col>1</xdr:col>
      <xdr:colOff>352425</xdr:colOff>
      <xdr:row>133</xdr:row>
      <xdr:rowOff>142875</xdr:rowOff>
    </xdr:to>
    <xdr:sp>
      <xdr:nvSpPr>
        <xdr:cNvPr id="34" name="Oval 75"/>
        <xdr:cNvSpPr>
          <a:spLocks/>
        </xdr:cNvSpPr>
      </xdr:nvSpPr>
      <xdr:spPr>
        <a:xfrm>
          <a:off x="381000" y="25984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135</xdr:row>
      <xdr:rowOff>66675</xdr:rowOff>
    </xdr:from>
    <xdr:to>
      <xdr:col>1</xdr:col>
      <xdr:colOff>352425</xdr:colOff>
      <xdr:row>135</xdr:row>
      <xdr:rowOff>152400</xdr:rowOff>
    </xdr:to>
    <xdr:sp>
      <xdr:nvSpPr>
        <xdr:cNvPr id="35" name="Oval 76"/>
        <xdr:cNvSpPr>
          <a:spLocks/>
        </xdr:cNvSpPr>
      </xdr:nvSpPr>
      <xdr:spPr>
        <a:xfrm>
          <a:off x="381000" y="263747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137</xdr:row>
      <xdr:rowOff>57150</xdr:rowOff>
    </xdr:from>
    <xdr:to>
      <xdr:col>1</xdr:col>
      <xdr:colOff>352425</xdr:colOff>
      <xdr:row>137</xdr:row>
      <xdr:rowOff>133350</xdr:rowOff>
    </xdr:to>
    <xdr:sp>
      <xdr:nvSpPr>
        <xdr:cNvPr id="36" name="Oval 77"/>
        <xdr:cNvSpPr>
          <a:spLocks/>
        </xdr:cNvSpPr>
      </xdr:nvSpPr>
      <xdr:spPr>
        <a:xfrm>
          <a:off x="381000" y="2674620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217</xdr:row>
      <xdr:rowOff>57150</xdr:rowOff>
    </xdr:from>
    <xdr:to>
      <xdr:col>1</xdr:col>
      <xdr:colOff>352425</xdr:colOff>
      <xdr:row>217</xdr:row>
      <xdr:rowOff>142875</xdr:rowOff>
    </xdr:to>
    <xdr:sp>
      <xdr:nvSpPr>
        <xdr:cNvPr id="37" name="Oval 78"/>
        <xdr:cNvSpPr>
          <a:spLocks/>
        </xdr:cNvSpPr>
      </xdr:nvSpPr>
      <xdr:spPr>
        <a:xfrm>
          <a:off x="381000" y="411099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272</xdr:row>
      <xdr:rowOff>57150</xdr:rowOff>
    </xdr:from>
    <xdr:to>
      <xdr:col>1</xdr:col>
      <xdr:colOff>352425</xdr:colOff>
      <xdr:row>272</xdr:row>
      <xdr:rowOff>142875</xdr:rowOff>
    </xdr:to>
    <xdr:sp>
      <xdr:nvSpPr>
        <xdr:cNvPr id="38" name="Oval 85"/>
        <xdr:cNvSpPr>
          <a:spLocks/>
        </xdr:cNvSpPr>
      </xdr:nvSpPr>
      <xdr:spPr>
        <a:xfrm>
          <a:off x="381000" y="527018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279</xdr:row>
      <xdr:rowOff>57150</xdr:rowOff>
    </xdr:from>
    <xdr:to>
      <xdr:col>1</xdr:col>
      <xdr:colOff>352425</xdr:colOff>
      <xdr:row>279</xdr:row>
      <xdr:rowOff>142875</xdr:rowOff>
    </xdr:to>
    <xdr:sp>
      <xdr:nvSpPr>
        <xdr:cNvPr id="39" name="Oval 86"/>
        <xdr:cNvSpPr>
          <a:spLocks/>
        </xdr:cNvSpPr>
      </xdr:nvSpPr>
      <xdr:spPr>
        <a:xfrm>
          <a:off x="381000" y="540353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66</xdr:row>
      <xdr:rowOff>57150</xdr:rowOff>
    </xdr:from>
    <xdr:to>
      <xdr:col>1</xdr:col>
      <xdr:colOff>352425</xdr:colOff>
      <xdr:row>66</xdr:row>
      <xdr:rowOff>142875</xdr:rowOff>
    </xdr:to>
    <xdr:sp>
      <xdr:nvSpPr>
        <xdr:cNvPr id="40" name="Oval 95"/>
        <xdr:cNvSpPr>
          <a:spLocks/>
        </xdr:cNvSpPr>
      </xdr:nvSpPr>
      <xdr:spPr>
        <a:xfrm>
          <a:off x="381000" y="130873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105</xdr:row>
      <xdr:rowOff>57150</xdr:rowOff>
    </xdr:from>
    <xdr:to>
      <xdr:col>1</xdr:col>
      <xdr:colOff>352425</xdr:colOff>
      <xdr:row>105</xdr:row>
      <xdr:rowOff>142875</xdr:rowOff>
    </xdr:to>
    <xdr:sp>
      <xdr:nvSpPr>
        <xdr:cNvPr id="41" name="Oval 101"/>
        <xdr:cNvSpPr>
          <a:spLocks/>
        </xdr:cNvSpPr>
      </xdr:nvSpPr>
      <xdr:spPr>
        <a:xfrm>
          <a:off x="381000" y="205359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274</xdr:row>
      <xdr:rowOff>0</xdr:rowOff>
    </xdr:from>
    <xdr:to>
      <xdr:col>9</xdr:col>
      <xdr:colOff>638175</xdr:colOff>
      <xdr:row>278</xdr:row>
      <xdr:rowOff>0</xdr:rowOff>
    </xdr:to>
    <xdr:sp>
      <xdr:nvSpPr>
        <xdr:cNvPr id="42" name="Text 123"/>
        <xdr:cNvSpPr txBox="1">
          <a:spLocks noChangeArrowheads="1"/>
        </xdr:cNvSpPr>
      </xdr:nvSpPr>
      <xdr:spPr>
        <a:xfrm>
          <a:off x="523875" y="53025675"/>
          <a:ext cx="6572250" cy="762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 Das Programm speichert nur die im Arbeitsblatt [Vergleich] dargestellten Kennzahlen.
 Daher empfiehlt sich nach jedem Plan ein Ausdruck aller relevanten Arbeitsblätter.</a:t>
          </a:r>
        </a:p>
      </xdr:txBody>
    </xdr:sp>
    <xdr:clientData/>
  </xdr:twoCellAnchor>
  <xdr:twoCellAnchor>
    <xdr:from>
      <xdr:col>1</xdr:col>
      <xdr:colOff>266700</xdr:colOff>
      <xdr:row>124</xdr:row>
      <xdr:rowOff>57150</xdr:rowOff>
    </xdr:from>
    <xdr:to>
      <xdr:col>1</xdr:col>
      <xdr:colOff>352425</xdr:colOff>
      <xdr:row>124</xdr:row>
      <xdr:rowOff>133350</xdr:rowOff>
    </xdr:to>
    <xdr:sp>
      <xdr:nvSpPr>
        <xdr:cNvPr id="43" name="Oval 130"/>
        <xdr:cNvSpPr>
          <a:spLocks/>
        </xdr:cNvSpPr>
      </xdr:nvSpPr>
      <xdr:spPr>
        <a:xfrm>
          <a:off x="381000" y="2430780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122</xdr:row>
      <xdr:rowOff>57150</xdr:rowOff>
    </xdr:from>
    <xdr:to>
      <xdr:col>1</xdr:col>
      <xdr:colOff>352425</xdr:colOff>
      <xdr:row>122</xdr:row>
      <xdr:rowOff>133350</xdr:rowOff>
    </xdr:to>
    <xdr:sp>
      <xdr:nvSpPr>
        <xdr:cNvPr id="44" name="Oval 133"/>
        <xdr:cNvSpPr>
          <a:spLocks/>
        </xdr:cNvSpPr>
      </xdr:nvSpPr>
      <xdr:spPr>
        <a:xfrm>
          <a:off x="381000" y="2392680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37</xdr:row>
      <xdr:rowOff>190500</xdr:rowOff>
    </xdr:from>
    <xdr:to>
      <xdr:col>8</xdr:col>
      <xdr:colOff>409575</xdr:colOff>
      <xdr:row>37</xdr:row>
      <xdr:rowOff>190500</xdr:rowOff>
    </xdr:to>
    <xdr:sp>
      <xdr:nvSpPr>
        <xdr:cNvPr id="45" name="Line 134"/>
        <xdr:cNvSpPr>
          <a:spLocks/>
        </xdr:cNvSpPr>
      </xdr:nvSpPr>
      <xdr:spPr>
        <a:xfrm>
          <a:off x="3171825" y="74485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37</xdr:row>
      <xdr:rowOff>9525</xdr:rowOff>
    </xdr:from>
    <xdr:to>
      <xdr:col>5</xdr:col>
      <xdr:colOff>447675</xdr:colOff>
      <xdr:row>38</xdr:row>
      <xdr:rowOff>0</xdr:rowOff>
    </xdr:to>
    <xdr:sp>
      <xdr:nvSpPr>
        <xdr:cNvPr id="46" name="Line 137"/>
        <xdr:cNvSpPr>
          <a:spLocks/>
        </xdr:cNvSpPr>
      </xdr:nvSpPr>
      <xdr:spPr>
        <a:xfrm>
          <a:off x="3171825" y="7267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37</xdr:row>
      <xdr:rowOff>0</xdr:rowOff>
    </xdr:from>
    <xdr:to>
      <xdr:col>6</xdr:col>
      <xdr:colOff>428625</xdr:colOff>
      <xdr:row>38</xdr:row>
      <xdr:rowOff>0</xdr:rowOff>
    </xdr:to>
    <xdr:sp>
      <xdr:nvSpPr>
        <xdr:cNvPr id="47" name="Line 138"/>
        <xdr:cNvSpPr>
          <a:spLocks/>
        </xdr:cNvSpPr>
      </xdr:nvSpPr>
      <xdr:spPr>
        <a:xfrm>
          <a:off x="4038600" y="72580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37</xdr:row>
      <xdr:rowOff>9525</xdr:rowOff>
    </xdr:from>
    <xdr:to>
      <xdr:col>7</xdr:col>
      <xdr:colOff>438150</xdr:colOff>
      <xdr:row>37</xdr:row>
      <xdr:rowOff>190500</xdr:rowOff>
    </xdr:to>
    <xdr:sp>
      <xdr:nvSpPr>
        <xdr:cNvPr id="48" name="Line 139"/>
        <xdr:cNvSpPr>
          <a:spLocks/>
        </xdr:cNvSpPr>
      </xdr:nvSpPr>
      <xdr:spPr>
        <a:xfrm>
          <a:off x="4933950" y="7267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37</xdr:row>
      <xdr:rowOff>0</xdr:rowOff>
    </xdr:from>
    <xdr:to>
      <xdr:col>8</xdr:col>
      <xdr:colOff>409575</xdr:colOff>
      <xdr:row>37</xdr:row>
      <xdr:rowOff>190500</xdr:rowOff>
    </xdr:to>
    <xdr:sp>
      <xdr:nvSpPr>
        <xdr:cNvPr id="49" name="Line 140"/>
        <xdr:cNvSpPr>
          <a:spLocks/>
        </xdr:cNvSpPr>
      </xdr:nvSpPr>
      <xdr:spPr>
        <a:xfrm flipV="1">
          <a:off x="6010275" y="7258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126</xdr:row>
      <xdr:rowOff>57150</xdr:rowOff>
    </xdr:from>
    <xdr:to>
      <xdr:col>1</xdr:col>
      <xdr:colOff>352425</xdr:colOff>
      <xdr:row>126</xdr:row>
      <xdr:rowOff>133350</xdr:rowOff>
    </xdr:to>
    <xdr:sp>
      <xdr:nvSpPr>
        <xdr:cNvPr id="50" name="Oval 142"/>
        <xdr:cNvSpPr>
          <a:spLocks/>
        </xdr:cNvSpPr>
      </xdr:nvSpPr>
      <xdr:spPr>
        <a:xfrm>
          <a:off x="381000" y="2468880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148</xdr:row>
      <xdr:rowOff>57150</xdr:rowOff>
    </xdr:from>
    <xdr:to>
      <xdr:col>1</xdr:col>
      <xdr:colOff>352425</xdr:colOff>
      <xdr:row>148</xdr:row>
      <xdr:rowOff>142875</xdr:rowOff>
    </xdr:to>
    <xdr:sp>
      <xdr:nvSpPr>
        <xdr:cNvPr id="51" name="Oval 145"/>
        <xdr:cNvSpPr>
          <a:spLocks/>
        </xdr:cNvSpPr>
      </xdr:nvSpPr>
      <xdr:spPr>
        <a:xfrm>
          <a:off x="381000" y="29032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154</xdr:row>
      <xdr:rowOff>57150</xdr:rowOff>
    </xdr:from>
    <xdr:to>
      <xdr:col>1</xdr:col>
      <xdr:colOff>352425</xdr:colOff>
      <xdr:row>154</xdr:row>
      <xdr:rowOff>142875</xdr:rowOff>
    </xdr:to>
    <xdr:sp>
      <xdr:nvSpPr>
        <xdr:cNvPr id="52" name="Oval 146"/>
        <xdr:cNvSpPr>
          <a:spLocks/>
        </xdr:cNvSpPr>
      </xdr:nvSpPr>
      <xdr:spPr>
        <a:xfrm>
          <a:off x="381000" y="30175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0</xdr:rowOff>
    </xdr:from>
    <xdr:to>
      <xdr:col>9</xdr:col>
      <xdr:colOff>638175</xdr:colOff>
      <xdr:row>113</xdr:row>
      <xdr:rowOff>352425</xdr:rowOff>
    </xdr:to>
    <xdr:sp>
      <xdr:nvSpPr>
        <xdr:cNvPr id="53" name="TextBox 147">
          <a:hlinkClick r:id="rId1"/>
        </xdr:cNvPr>
        <xdr:cNvSpPr txBox="1">
          <a:spLocks noChangeArrowheads="1"/>
        </xdr:cNvSpPr>
      </xdr:nvSpPr>
      <xdr:spPr>
        <a:xfrm>
          <a:off x="5600700" y="22002750"/>
          <a:ext cx="1495425" cy="35242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 fPrintsWithSheet="0"/>
  </xdr:twoCellAnchor>
  <xdr:twoCellAnchor>
    <xdr:from>
      <xdr:col>8</xdr:col>
      <xdr:colOff>0</xdr:colOff>
      <xdr:row>140</xdr:row>
      <xdr:rowOff>0</xdr:rowOff>
    </xdr:from>
    <xdr:to>
      <xdr:col>9</xdr:col>
      <xdr:colOff>638175</xdr:colOff>
      <xdr:row>140</xdr:row>
      <xdr:rowOff>352425</xdr:rowOff>
    </xdr:to>
    <xdr:sp>
      <xdr:nvSpPr>
        <xdr:cNvPr id="54" name="TextBox 148">
          <a:hlinkClick r:id="rId2"/>
        </xdr:cNvPr>
        <xdr:cNvSpPr txBox="1">
          <a:spLocks noChangeArrowheads="1"/>
        </xdr:cNvSpPr>
      </xdr:nvSpPr>
      <xdr:spPr>
        <a:xfrm>
          <a:off x="5600700" y="27260550"/>
          <a:ext cx="1495425" cy="35242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 fPrintsWithSheet="0"/>
  </xdr:twoCellAnchor>
  <xdr:twoCellAnchor>
    <xdr:from>
      <xdr:col>8</xdr:col>
      <xdr:colOff>333375</xdr:colOff>
      <xdr:row>157</xdr:row>
      <xdr:rowOff>0</xdr:rowOff>
    </xdr:from>
    <xdr:to>
      <xdr:col>9</xdr:col>
      <xdr:colOff>638175</xdr:colOff>
      <xdr:row>157</xdr:row>
      <xdr:rowOff>352425</xdr:rowOff>
    </xdr:to>
    <xdr:sp>
      <xdr:nvSpPr>
        <xdr:cNvPr id="55" name="TextBox 149">
          <a:hlinkClick r:id="rId3"/>
        </xdr:cNvPr>
        <xdr:cNvSpPr txBox="1">
          <a:spLocks noChangeArrowheads="1"/>
        </xdr:cNvSpPr>
      </xdr:nvSpPr>
      <xdr:spPr>
        <a:xfrm>
          <a:off x="5934075" y="30689550"/>
          <a:ext cx="1162050" cy="35242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 fPrintsWithSheet="0"/>
  </xdr:twoCellAnchor>
  <xdr:twoCellAnchor>
    <xdr:from>
      <xdr:col>8</xdr:col>
      <xdr:colOff>0</xdr:colOff>
      <xdr:row>213</xdr:row>
      <xdr:rowOff>0</xdr:rowOff>
    </xdr:from>
    <xdr:to>
      <xdr:col>9</xdr:col>
      <xdr:colOff>638175</xdr:colOff>
      <xdr:row>213</xdr:row>
      <xdr:rowOff>352425</xdr:rowOff>
    </xdr:to>
    <xdr:sp>
      <xdr:nvSpPr>
        <xdr:cNvPr id="56" name="TextBox 150">
          <a:hlinkClick r:id="rId4"/>
        </xdr:cNvPr>
        <xdr:cNvSpPr txBox="1">
          <a:spLocks noChangeArrowheads="1"/>
        </xdr:cNvSpPr>
      </xdr:nvSpPr>
      <xdr:spPr>
        <a:xfrm>
          <a:off x="5600700" y="40138350"/>
          <a:ext cx="1495425" cy="35242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 fPrintsWithSheet="0"/>
  </xdr:twoCellAnchor>
  <xdr:twoCellAnchor>
    <xdr:from>
      <xdr:col>8</xdr:col>
      <xdr:colOff>0</xdr:colOff>
      <xdr:row>265</xdr:row>
      <xdr:rowOff>0</xdr:rowOff>
    </xdr:from>
    <xdr:to>
      <xdr:col>9</xdr:col>
      <xdr:colOff>638175</xdr:colOff>
      <xdr:row>265</xdr:row>
      <xdr:rowOff>352425</xdr:rowOff>
    </xdr:to>
    <xdr:sp>
      <xdr:nvSpPr>
        <xdr:cNvPr id="57" name="TextBox 151">
          <a:hlinkClick r:id="rId5"/>
        </xdr:cNvPr>
        <xdr:cNvSpPr txBox="1">
          <a:spLocks noChangeArrowheads="1"/>
        </xdr:cNvSpPr>
      </xdr:nvSpPr>
      <xdr:spPr>
        <a:xfrm>
          <a:off x="5600700" y="51120675"/>
          <a:ext cx="1495425" cy="352425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 fPrintsWithSheet="0"/>
  </xdr:twoCellAnchor>
  <xdr:twoCellAnchor>
    <xdr:from>
      <xdr:col>8</xdr:col>
      <xdr:colOff>0</xdr:colOff>
      <xdr:row>59</xdr:row>
      <xdr:rowOff>0</xdr:rowOff>
    </xdr:from>
    <xdr:to>
      <xdr:col>10</xdr:col>
      <xdr:colOff>0</xdr:colOff>
      <xdr:row>60</xdr:row>
      <xdr:rowOff>0</xdr:rowOff>
    </xdr:to>
    <xdr:sp>
      <xdr:nvSpPr>
        <xdr:cNvPr id="58" name="TextBox 152">
          <a:hlinkClick r:id="rId6"/>
        </xdr:cNvPr>
        <xdr:cNvSpPr txBox="1">
          <a:spLocks noChangeArrowheads="1"/>
        </xdr:cNvSpPr>
      </xdr:nvSpPr>
      <xdr:spPr>
        <a:xfrm>
          <a:off x="5600700" y="11544300"/>
          <a:ext cx="1495425" cy="3810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 fPrintsWithSheet="0"/>
  </xdr:twoCellAnchor>
  <xdr:twoCellAnchor editAs="oneCell">
    <xdr:from>
      <xdr:col>9</xdr:col>
      <xdr:colOff>28575</xdr:colOff>
      <xdr:row>1</xdr:row>
      <xdr:rowOff>28575</xdr:rowOff>
    </xdr:from>
    <xdr:to>
      <xdr:col>10</xdr:col>
      <xdr:colOff>180975</xdr:colOff>
      <xdr:row>1</xdr:row>
      <xdr:rowOff>447675</xdr:rowOff>
    </xdr:to>
    <xdr:pic>
      <xdr:nvPicPr>
        <xdr:cNvPr id="59" name="Picture 1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86525" y="14287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80</xdr:row>
      <xdr:rowOff>57150</xdr:rowOff>
    </xdr:from>
    <xdr:to>
      <xdr:col>1</xdr:col>
      <xdr:colOff>352425</xdr:colOff>
      <xdr:row>80</xdr:row>
      <xdr:rowOff>142875</xdr:rowOff>
    </xdr:to>
    <xdr:sp>
      <xdr:nvSpPr>
        <xdr:cNvPr id="60" name="Oval 154"/>
        <xdr:cNvSpPr>
          <a:spLocks/>
        </xdr:cNvSpPr>
      </xdr:nvSpPr>
      <xdr:spPr>
        <a:xfrm>
          <a:off x="381000" y="1567815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174</xdr:row>
      <xdr:rowOff>57150</xdr:rowOff>
    </xdr:from>
    <xdr:to>
      <xdr:col>1</xdr:col>
      <xdr:colOff>352425</xdr:colOff>
      <xdr:row>174</xdr:row>
      <xdr:rowOff>142875</xdr:rowOff>
    </xdr:to>
    <xdr:sp>
      <xdr:nvSpPr>
        <xdr:cNvPr id="61" name="Oval 155"/>
        <xdr:cNvSpPr>
          <a:spLocks/>
        </xdr:cNvSpPr>
      </xdr:nvSpPr>
      <xdr:spPr>
        <a:xfrm>
          <a:off x="381000" y="331851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161</xdr:row>
      <xdr:rowOff>57150</xdr:rowOff>
    </xdr:from>
    <xdr:to>
      <xdr:col>1</xdr:col>
      <xdr:colOff>352425</xdr:colOff>
      <xdr:row>161</xdr:row>
      <xdr:rowOff>142875</xdr:rowOff>
    </xdr:to>
    <xdr:sp>
      <xdr:nvSpPr>
        <xdr:cNvPr id="62" name="Oval 156"/>
        <xdr:cNvSpPr>
          <a:spLocks/>
        </xdr:cNvSpPr>
      </xdr:nvSpPr>
      <xdr:spPr>
        <a:xfrm>
          <a:off x="381000" y="316992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173</xdr:row>
      <xdr:rowOff>57150</xdr:rowOff>
    </xdr:from>
    <xdr:to>
      <xdr:col>1</xdr:col>
      <xdr:colOff>352425</xdr:colOff>
      <xdr:row>173</xdr:row>
      <xdr:rowOff>142875</xdr:rowOff>
    </xdr:to>
    <xdr:sp>
      <xdr:nvSpPr>
        <xdr:cNvPr id="63" name="Oval 157"/>
        <xdr:cNvSpPr>
          <a:spLocks/>
        </xdr:cNvSpPr>
      </xdr:nvSpPr>
      <xdr:spPr>
        <a:xfrm>
          <a:off x="381000" y="329946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151</xdr:row>
      <xdr:rowOff>66675</xdr:rowOff>
    </xdr:from>
    <xdr:to>
      <xdr:col>1</xdr:col>
      <xdr:colOff>352425</xdr:colOff>
      <xdr:row>151</xdr:row>
      <xdr:rowOff>152400</xdr:rowOff>
    </xdr:to>
    <xdr:sp>
      <xdr:nvSpPr>
        <xdr:cNvPr id="64" name="Oval 158"/>
        <xdr:cNvSpPr>
          <a:spLocks/>
        </xdr:cNvSpPr>
      </xdr:nvSpPr>
      <xdr:spPr>
        <a:xfrm>
          <a:off x="381000" y="29613225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177</xdr:row>
      <xdr:rowOff>57150</xdr:rowOff>
    </xdr:from>
    <xdr:to>
      <xdr:col>1</xdr:col>
      <xdr:colOff>352425</xdr:colOff>
      <xdr:row>177</xdr:row>
      <xdr:rowOff>142875</xdr:rowOff>
    </xdr:to>
    <xdr:sp>
      <xdr:nvSpPr>
        <xdr:cNvPr id="65" name="Oval 159"/>
        <xdr:cNvSpPr>
          <a:spLocks/>
        </xdr:cNvSpPr>
      </xdr:nvSpPr>
      <xdr:spPr>
        <a:xfrm>
          <a:off x="381000" y="337566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186</xdr:row>
      <xdr:rowOff>57150</xdr:rowOff>
    </xdr:from>
    <xdr:to>
      <xdr:col>1</xdr:col>
      <xdr:colOff>352425</xdr:colOff>
      <xdr:row>186</xdr:row>
      <xdr:rowOff>142875</xdr:rowOff>
    </xdr:to>
    <xdr:sp>
      <xdr:nvSpPr>
        <xdr:cNvPr id="66" name="Oval 162"/>
        <xdr:cNvSpPr>
          <a:spLocks/>
        </xdr:cNvSpPr>
      </xdr:nvSpPr>
      <xdr:spPr>
        <a:xfrm>
          <a:off x="381000" y="35204400"/>
          <a:ext cx="8572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" name="TextBox 21">
          <a:hlinkClick r:id="rId1"/>
        </xdr:cNvPr>
        <xdr:cNvSpPr txBox="1">
          <a:spLocks noChangeArrowheads="1"/>
        </xdr:cNvSpPr>
      </xdr:nvSpPr>
      <xdr:spPr>
        <a:xfrm>
          <a:off x="2524125" y="0"/>
          <a:ext cx="1857375" cy="4572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Erläuterungen</a:t>
          </a:r>
        </a:p>
      </xdr:txBody>
    </xdr:sp>
    <xdr:clientData fPrintsWithSheet="0"/>
  </xdr:twoCellAnchor>
  <xdr:twoCellAnchor editAs="oneCell">
    <xdr:from>
      <xdr:col>12</xdr:col>
      <xdr:colOff>38100</xdr:colOff>
      <xdr:row>0</xdr:row>
      <xdr:rowOff>19050</xdr:rowOff>
    </xdr:from>
    <xdr:to>
      <xdr:col>13</xdr:col>
      <xdr:colOff>209550</xdr:colOff>
      <xdr:row>0</xdr:row>
      <xdr:rowOff>438150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1905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7">
          <a:hlinkClick r:id="rId1"/>
        </xdr:cNvPr>
        <xdr:cNvSpPr txBox="1">
          <a:spLocks noChangeArrowheads="1"/>
        </xdr:cNvSpPr>
      </xdr:nvSpPr>
      <xdr:spPr>
        <a:xfrm>
          <a:off x="4486275" y="0"/>
          <a:ext cx="1466850" cy="4572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Erläuterungen</a:t>
          </a:r>
        </a:p>
      </xdr:txBody>
    </xdr:sp>
    <xdr:clientData fPrintsWithSheet="0"/>
  </xdr:twoCellAnchor>
  <xdr:twoCellAnchor editAs="oneCell">
    <xdr:from>
      <xdr:col>10</xdr:col>
      <xdr:colOff>495300</xdr:colOff>
      <xdr:row>0</xdr:row>
      <xdr:rowOff>28575</xdr:rowOff>
    </xdr:from>
    <xdr:to>
      <xdr:col>11</xdr:col>
      <xdr:colOff>638175</xdr:colOff>
      <xdr:row>0</xdr:row>
      <xdr:rowOff>447675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54</xdr:row>
      <xdr:rowOff>0</xdr:rowOff>
    </xdr:from>
    <xdr:to>
      <xdr:col>2</xdr:col>
      <xdr:colOff>342900</xdr:colOff>
      <xdr:row>59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190500" y="6762750"/>
          <a:ext cx="342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Unbare  Eigenleist.</a:t>
          </a:r>
        </a:p>
      </xdr:txBody>
    </xdr:sp>
    <xdr:clientData/>
  </xdr:twoCellAnchor>
  <xdr:twoCellAnchor>
    <xdr:from>
      <xdr:col>11</xdr:col>
      <xdr:colOff>28575</xdr:colOff>
      <xdr:row>43</xdr:row>
      <xdr:rowOff>57150</xdr:rowOff>
    </xdr:from>
    <xdr:to>
      <xdr:col>13</xdr:col>
      <xdr:colOff>295275</xdr:colOff>
      <xdr:row>45</xdr:row>
      <xdr:rowOff>66675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5915025" y="6762750"/>
          <a:ext cx="1495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&lt;= Zukauf! (Aufstock. a. eig. Nachz.  =&gt; Zeile 94)</a:t>
          </a:r>
        </a:p>
      </xdr:txBody>
    </xdr:sp>
    <xdr:clientData fPrintsWithSheet="0"/>
  </xdr:twoCellAnchor>
  <xdr:twoCellAnchor>
    <xdr:from>
      <xdr:col>14</xdr:col>
      <xdr:colOff>0</xdr:colOff>
      <xdr:row>25</xdr:row>
      <xdr:rowOff>0</xdr:rowOff>
    </xdr:from>
    <xdr:to>
      <xdr:col>19</xdr:col>
      <xdr:colOff>0</xdr:colOff>
      <xdr:row>27</xdr:row>
      <xdr:rowOff>133350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7429500" y="4381500"/>
          <a:ext cx="2419350" cy="514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 Zellen H46 bis H49 "x", wenn Kosten bei Betreuerzuschuss berücksichtigt werden sollen.</a:t>
          </a:r>
        </a:p>
      </xdr:txBody>
    </xdr:sp>
    <xdr:clientData fPrintsWithSheet="0"/>
  </xdr:twoCellAnchor>
  <xdr:twoCellAnchor>
    <xdr:from>
      <xdr:col>5</xdr:col>
      <xdr:colOff>19050</xdr:colOff>
      <xdr:row>0</xdr:row>
      <xdr:rowOff>0</xdr:rowOff>
    </xdr:from>
    <xdr:to>
      <xdr:col>9</xdr:col>
      <xdr:colOff>0</xdr:colOff>
      <xdr:row>4</xdr:row>
      <xdr:rowOff>0</xdr:rowOff>
    </xdr:to>
    <xdr:sp>
      <xdr:nvSpPr>
        <xdr:cNvPr id="4" name="TextBox 32">
          <a:hlinkClick r:id="rId1"/>
        </xdr:cNvPr>
        <xdr:cNvSpPr txBox="1">
          <a:spLocks noChangeArrowheads="1"/>
        </xdr:cNvSpPr>
      </xdr:nvSpPr>
      <xdr:spPr>
        <a:xfrm>
          <a:off x="3228975" y="0"/>
          <a:ext cx="1428750" cy="4572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Erläuterungen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2</xdr:col>
      <xdr:colOff>0</xdr:colOff>
      <xdr:row>15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47650" y="1114425"/>
          <a:ext cx="3143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Bare
 Eigenmittel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24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247650" y="2619375"/>
          <a:ext cx="31432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Zuschüsse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29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247650" y="4591050"/>
          <a:ext cx="3143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Darlehen</a:t>
          </a:r>
        </a:p>
      </xdr:txBody>
    </xdr:sp>
    <xdr:clientData/>
  </xdr:twoCellAnchor>
  <xdr:twoCellAnchor>
    <xdr:from>
      <xdr:col>9</xdr:col>
      <xdr:colOff>9525</xdr:colOff>
      <xdr:row>32</xdr:row>
      <xdr:rowOff>0</xdr:rowOff>
    </xdr:from>
    <xdr:to>
      <xdr:col>9</xdr:col>
      <xdr:colOff>85725</xdr:colOff>
      <xdr:row>32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286250" y="624840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</xdr:row>
      <xdr:rowOff>19050</xdr:rowOff>
    </xdr:from>
    <xdr:to>
      <xdr:col>9</xdr:col>
      <xdr:colOff>295275</xdr:colOff>
      <xdr:row>3</xdr:row>
      <xdr:rowOff>95250</xdr:rowOff>
    </xdr:to>
    <xdr:sp>
      <xdr:nvSpPr>
        <xdr:cNvPr id="5" name="TextBox 12">
          <a:hlinkClick r:id="rId1"/>
        </xdr:cNvPr>
        <xdr:cNvSpPr txBox="1">
          <a:spLocks noChangeArrowheads="1"/>
        </xdr:cNvSpPr>
      </xdr:nvSpPr>
      <xdr:spPr>
        <a:xfrm>
          <a:off x="3009900" y="66675"/>
          <a:ext cx="1562100" cy="4572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Erläuterungen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19</xdr:row>
      <xdr:rowOff>19050</xdr:rowOff>
    </xdr:from>
    <xdr:to>
      <xdr:col>10</xdr:col>
      <xdr:colOff>9525</xdr:colOff>
      <xdr:row>19</xdr:row>
      <xdr:rowOff>19050</xdr:rowOff>
    </xdr:to>
    <xdr:sp>
      <xdr:nvSpPr>
        <xdr:cNvPr id="1" name="Line 6"/>
        <xdr:cNvSpPr>
          <a:spLocks/>
        </xdr:cNvSpPr>
      </xdr:nvSpPr>
      <xdr:spPr>
        <a:xfrm>
          <a:off x="733425" y="3914775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TextBox 7">
          <a:hlinkClick r:id="rId1"/>
        </xdr:cNvPr>
        <xdr:cNvSpPr txBox="1">
          <a:spLocks noChangeArrowheads="1"/>
        </xdr:cNvSpPr>
      </xdr:nvSpPr>
      <xdr:spPr>
        <a:xfrm>
          <a:off x="4267200" y="0"/>
          <a:ext cx="1352550" cy="4572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Erläuterungen</a:t>
          </a:r>
        </a:p>
      </xdr:txBody>
    </xdr:sp>
    <xdr:clientData fPrintsWithSheet="0"/>
  </xdr:twoCellAnchor>
  <xdr:twoCellAnchor>
    <xdr:from>
      <xdr:col>4</xdr:col>
      <xdr:colOff>161925</xdr:colOff>
      <xdr:row>0</xdr:row>
      <xdr:rowOff>0</xdr:rowOff>
    </xdr:from>
    <xdr:to>
      <xdr:col>6</xdr:col>
      <xdr:colOff>466725</xdr:colOff>
      <xdr:row>1</xdr:row>
      <xdr:rowOff>0</xdr:rowOff>
    </xdr:to>
    <xdr:sp macro="[0]!ErgebnisSichern">
      <xdr:nvSpPr>
        <xdr:cNvPr id="3" name="TextBox 8"/>
        <xdr:cNvSpPr txBox="1">
          <a:spLocks noChangeArrowheads="1"/>
        </xdr:cNvSpPr>
      </xdr:nvSpPr>
      <xdr:spPr>
        <a:xfrm>
          <a:off x="1619250" y="0"/>
          <a:ext cx="2600325" cy="4572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Daten in Vergleich übertragen</a:t>
          </a:r>
        </a:p>
      </xdr:txBody>
    </xdr:sp>
    <xdr:clientData fPrintsWithSheet="0"/>
  </xdr:twoCellAnchor>
  <xdr:twoCellAnchor editAs="oneCell">
    <xdr:from>
      <xdr:col>9</xdr:col>
      <xdr:colOff>409575</xdr:colOff>
      <xdr:row>0</xdr:row>
      <xdr:rowOff>28575</xdr:rowOff>
    </xdr:from>
    <xdr:to>
      <xdr:col>10</xdr:col>
      <xdr:colOff>47625</xdr:colOff>
      <xdr:row>0</xdr:row>
      <xdr:rowOff>447675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2857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3600450" y="0"/>
          <a:ext cx="1981200" cy="457200"/>
        </a:xfrm>
        <a:prstGeom prst="rect">
          <a:avLst/>
        </a:prstGeom>
        <a:gradFill rotWithShape="1">
          <a:gsLst>
            <a:gs pos="0">
              <a:srgbClr val="808080"/>
            </a:gs>
            <a:gs pos="100000">
              <a:srgbClr val="00FF0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Erläuterungen</a:t>
          </a:r>
        </a:p>
      </xdr:txBody>
    </xdr:sp>
    <xdr:clientData fPrintsWithSheet="0"/>
  </xdr:twoCellAnchor>
  <xdr:twoCellAnchor editAs="oneCell">
    <xdr:from>
      <xdr:col>9</xdr:col>
      <xdr:colOff>0</xdr:colOff>
      <xdr:row>0</xdr:row>
      <xdr:rowOff>28575</xdr:rowOff>
    </xdr:from>
    <xdr:to>
      <xdr:col>10</xdr:col>
      <xdr:colOff>9525</xdr:colOff>
      <xdr:row>0</xdr:row>
      <xdr:rowOff>447675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28575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-bank.de/cms/content/geschaeftsfelder/landwirtschaft/landwirtschaft.xml?stufe=2&amp;pfad=1,102&amp;nav_id=111" TargetMode="External" /><Relationship Id="rId2" Type="http://schemas.openxmlformats.org/officeDocument/2006/relationships/hyperlink" Target="http://www.rentenbank.de/d/Kredite/Konditionen.html" TargetMode="External" /><Relationship Id="rId3" Type="http://schemas.openxmlformats.org/officeDocument/2006/relationships/hyperlink" Target="http://www.rentenbank.de/cms/beitrag/10012840/263087" TargetMode="External" /><Relationship Id="rId4" Type="http://schemas.openxmlformats.org/officeDocument/2006/relationships/hyperlink" Target="http://www.l-bank.de/lbank/inhalt/nav/unternehmen/landwirtschaftagrar-undernaehrungswirtschaft/index.nav?ceid=108282" TargetMode="External" /><Relationship Id="rId5" Type="http://schemas.openxmlformats.org/officeDocument/2006/relationships/comments" Target="../comments5.xml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05"/>
  <sheetViews>
    <sheetView showGridLines="0" showZeros="0" zoomScale="147" zoomScaleNormal="147" zoomScaleSheetLayoutView="100" workbookViewId="0" topLeftCell="A1">
      <selection activeCell="B2" sqref="B2"/>
    </sheetView>
  </sheetViews>
  <sheetFormatPr defaultColWidth="11.421875" defaultRowHeight="12.75"/>
  <cols>
    <col min="1" max="1" width="1.7109375" style="38" customWidth="1"/>
    <col min="2" max="2" width="6.28125" style="38" customWidth="1"/>
    <col min="3" max="3" width="6.28125" style="41" customWidth="1"/>
    <col min="4" max="7" width="13.28125" style="38" customWidth="1"/>
    <col min="8" max="8" width="16.57421875" style="38" customWidth="1"/>
    <col min="9" max="9" width="12.8515625" style="38" customWidth="1"/>
    <col min="10" max="10" width="9.57421875" style="30" customWidth="1"/>
    <col min="11" max="11" width="12.00390625" style="62" customWidth="1"/>
    <col min="12" max="16384" width="11.57421875" style="38" customWidth="1"/>
  </cols>
  <sheetData>
    <row r="1" ht="9" customHeight="1">
      <c r="A1" s="37"/>
    </row>
    <row r="2" spans="2:12" s="6" customFormat="1" ht="36" customHeight="1">
      <c r="B2" s="602"/>
      <c r="C2" s="596"/>
      <c r="D2" s="597" t="s">
        <v>14</v>
      </c>
      <c r="E2" s="597"/>
      <c r="F2" s="597"/>
      <c r="G2" s="597"/>
      <c r="H2" s="597"/>
      <c r="I2" s="598"/>
      <c r="J2" s="604"/>
      <c r="K2" s="1"/>
      <c r="L2" s="6" t="str">
        <f>E2&amp;" "&amp;MID(J2,1,11)</f>
        <v> </v>
      </c>
    </row>
    <row r="3" spans="2:11" s="6" customFormat="1" ht="24" customHeight="1">
      <c r="B3" s="603" t="s">
        <v>15</v>
      </c>
      <c r="C3" s="599"/>
      <c r="D3" s="110"/>
      <c r="E3" s="600"/>
      <c r="F3" s="600"/>
      <c r="G3" s="600"/>
      <c r="H3" s="600"/>
      <c r="I3" s="601"/>
      <c r="J3" s="605" t="s">
        <v>575</v>
      </c>
      <c r="K3" s="1"/>
    </row>
    <row r="4" spans="2:11" s="6" customFormat="1" ht="12" customHeight="1">
      <c r="B4" s="609"/>
      <c r="C4" s="610"/>
      <c r="D4" s="609"/>
      <c r="E4" s="608" t="s">
        <v>379</v>
      </c>
      <c r="F4" s="600"/>
      <c r="G4" s="600"/>
      <c r="H4" s="600"/>
      <c r="I4" s="610"/>
      <c r="J4" s="611"/>
      <c r="K4" s="1"/>
    </row>
    <row r="5" ht="19.5" customHeight="1" thickBot="1"/>
    <row r="6" spans="1:11" ht="30" customHeight="1" thickBot="1">
      <c r="A6" s="37"/>
      <c r="B6" s="91" t="s">
        <v>16</v>
      </c>
      <c r="C6" s="90" t="s">
        <v>17</v>
      </c>
      <c r="D6" s="50"/>
      <c r="E6" s="49"/>
      <c r="F6" s="49"/>
      <c r="G6" s="49"/>
      <c r="H6" s="49"/>
      <c r="I6" s="49"/>
      <c r="J6" s="76"/>
      <c r="K6" s="92">
        <v>0</v>
      </c>
    </row>
    <row r="7" ht="9.75" customHeight="1"/>
    <row r="8" spans="2:3" ht="15" customHeight="1">
      <c r="B8" s="38" t="s">
        <v>277</v>
      </c>
      <c r="C8" s="71"/>
    </row>
    <row r="9" spans="2:3" ht="15" customHeight="1">
      <c r="B9" s="71" t="s">
        <v>278</v>
      </c>
      <c r="C9" s="71"/>
    </row>
    <row r="10" spans="2:3" ht="9.75" customHeight="1">
      <c r="B10" s="71"/>
      <c r="C10" s="71"/>
    </row>
    <row r="11" spans="2:3" ht="18">
      <c r="B11" s="528" t="s">
        <v>279</v>
      </c>
      <c r="C11" s="71"/>
    </row>
    <row r="12" ht="9.75" customHeight="1">
      <c r="C12" s="38"/>
    </row>
    <row r="13" spans="2:3" ht="15" customHeight="1">
      <c r="B13" s="71" t="s">
        <v>280</v>
      </c>
      <c r="C13" s="71"/>
    </row>
    <row r="14" spans="2:3" ht="15" customHeight="1">
      <c r="B14" s="71" t="s">
        <v>332</v>
      </c>
      <c r="C14" s="71"/>
    </row>
    <row r="15" spans="2:3" ht="15" customHeight="1">
      <c r="B15" s="71" t="s">
        <v>333</v>
      </c>
      <c r="C15" s="71"/>
    </row>
    <row r="16" spans="2:3" ht="15" customHeight="1">
      <c r="B16" s="71" t="s">
        <v>281</v>
      </c>
      <c r="C16" s="71"/>
    </row>
    <row r="17" spans="2:3" ht="15" customHeight="1">
      <c r="B17" s="71" t="s">
        <v>282</v>
      </c>
      <c r="C17" s="71"/>
    </row>
    <row r="18" spans="2:3" ht="15" customHeight="1">
      <c r="B18" s="71" t="s">
        <v>394</v>
      </c>
      <c r="C18" s="71"/>
    </row>
    <row r="19" spans="2:3" ht="15" customHeight="1">
      <c r="B19" s="71" t="s">
        <v>283</v>
      </c>
      <c r="C19" s="71"/>
    </row>
    <row r="20" spans="2:3" ht="9.75" customHeight="1">
      <c r="B20" s="71"/>
      <c r="C20" s="71"/>
    </row>
    <row r="21" spans="2:3" ht="19.5" customHeight="1">
      <c r="B21" s="528" t="s">
        <v>284</v>
      </c>
      <c r="C21" s="71"/>
    </row>
    <row r="22" ht="9.75" customHeight="1">
      <c r="C22" s="38"/>
    </row>
    <row r="23" spans="2:3" ht="15" customHeight="1">
      <c r="B23" s="71" t="s">
        <v>573</v>
      </c>
      <c r="C23" s="71"/>
    </row>
    <row r="24" spans="2:3" ht="15" customHeight="1">
      <c r="B24" s="71" t="s">
        <v>285</v>
      </c>
      <c r="C24" s="71"/>
    </row>
    <row r="25" spans="2:3" ht="15" customHeight="1">
      <c r="B25" s="71" t="s">
        <v>286</v>
      </c>
      <c r="C25" s="71"/>
    </row>
    <row r="26" spans="2:3" ht="15" customHeight="1">
      <c r="B26" s="71" t="s">
        <v>287</v>
      </c>
      <c r="C26" s="71"/>
    </row>
    <row r="27" spans="2:3" ht="15" customHeight="1">
      <c r="B27" s="71" t="s">
        <v>288</v>
      </c>
      <c r="C27" s="71"/>
    </row>
    <row r="28" spans="2:3" ht="15" customHeight="1">
      <c r="B28" s="71" t="s">
        <v>574</v>
      </c>
      <c r="C28" s="71"/>
    </row>
    <row r="29" spans="2:3" ht="15" customHeight="1">
      <c r="B29" s="71" t="s">
        <v>289</v>
      </c>
      <c r="C29" s="71"/>
    </row>
    <row r="30" spans="2:3" ht="15" customHeight="1">
      <c r="B30" s="71" t="s">
        <v>290</v>
      </c>
      <c r="C30" s="71"/>
    </row>
    <row r="31" spans="2:3" ht="15" customHeight="1">
      <c r="B31" s="71" t="s">
        <v>291</v>
      </c>
      <c r="C31" s="71"/>
    </row>
    <row r="32" spans="2:3" ht="15" customHeight="1">
      <c r="B32" s="71" t="s">
        <v>292</v>
      </c>
      <c r="C32" s="71"/>
    </row>
    <row r="33" spans="2:11" ht="9.75" customHeight="1">
      <c r="B33" s="71"/>
      <c r="C33" s="71"/>
      <c r="K33" s="71"/>
    </row>
    <row r="34" spans="2:11" ht="15" customHeight="1">
      <c r="B34" s="38" t="s">
        <v>303</v>
      </c>
      <c r="C34" s="71"/>
      <c r="K34" s="71"/>
    </row>
    <row r="35" spans="2:11" ht="15" customHeight="1">
      <c r="B35" s="72"/>
      <c r="C35" s="578"/>
      <c r="E35" s="72"/>
      <c r="F35" s="578"/>
      <c r="H35" s="72"/>
      <c r="I35" s="578"/>
      <c r="K35" s="71"/>
    </row>
    <row r="36" spans="2:11" ht="15" customHeight="1">
      <c r="B36" s="1171" t="s">
        <v>293</v>
      </c>
      <c r="C36" s="1172"/>
      <c r="E36" s="38" t="s">
        <v>301</v>
      </c>
      <c r="F36" s="526" t="s">
        <v>296</v>
      </c>
      <c r="G36" s="526" t="s">
        <v>297</v>
      </c>
      <c r="H36" s="1168" t="s">
        <v>352</v>
      </c>
      <c r="I36" s="526" t="s">
        <v>300</v>
      </c>
      <c r="K36" s="71"/>
    </row>
    <row r="37" spans="2:11" ht="15" customHeight="1">
      <c r="B37" s="1173"/>
      <c r="C37" s="1174"/>
      <c r="F37" s="527" t="s">
        <v>295</v>
      </c>
      <c r="G37" s="527" t="s">
        <v>298</v>
      </c>
      <c r="H37" s="1169"/>
      <c r="I37" s="527" t="s">
        <v>299</v>
      </c>
      <c r="K37" s="71"/>
    </row>
    <row r="38" spans="2:11" ht="29.25" customHeight="1">
      <c r="B38" s="525"/>
      <c r="C38" s="525"/>
      <c r="F38" s="525"/>
      <c r="G38" s="525"/>
      <c r="H38" s="525"/>
      <c r="I38" s="525"/>
      <c r="K38" s="71"/>
    </row>
    <row r="39" spans="2:11" ht="15" customHeight="1">
      <c r="B39" s="72"/>
      <c r="C39" s="578"/>
      <c r="E39" s="38" t="s">
        <v>302</v>
      </c>
      <c r="F39" s="1175" t="s">
        <v>294</v>
      </c>
      <c r="G39" s="1175" t="s">
        <v>63</v>
      </c>
      <c r="I39" s="578"/>
      <c r="K39" s="71"/>
    </row>
    <row r="40" spans="2:11" ht="15" customHeight="1">
      <c r="B40" s="72"/>
      <c r="C40" s="578"/>
      <c r="F40" s="1176"/>
      <c r="G40" s="1176"/>
      <c r="I40" s="578"/>
      <c r="K40" s="71"/>
    </row>
    <row r="41" ht="9.75" customHeight="1">
      <c r="C41" s="38"/>
    </row>
    <row r="42" spans="2:3" ht="18">
      <c r="B42" s="528" t="s">
        <v>304</v>
      </c>
      <c r="C42" s="578"/>
    </row>
    <row r="43" ht="9" customHeight="1">
      <c r="C43" s="38"/>
    </row>
    <row r="44" spans="2:3" ht="15" customHeight="1">
      <c r="B44" s="71" t="s">
        <v>305</v>
      </c>
      <c r="C44" s="578"/>
    </row>
    <row r="45" spans="2:3" ht="15" customHeight="1">
      <c r="B45" s="71" t="s">
        <v>334</v>
      </c>
      <c r="C45" s="38"/>
    </row>
    <row r="46" ht="9.75" customHeight="1">
      <c r="C46" s="38"/>
    </row>
    <row r="47" spans="1:3" ht="18" customHeight="1">
      <c r="A47" s="37"/>
      <c r="B47" s="528" t="s">
        <v>18</v>
      </c>
      <c r="C47" s="38"/>
    </row>
    <row r="48" ht="9" customHeight="1">
      <c r="C48" s="38"/>
    </row>
    <row r="49" spans="2:4" ht="15" customHeight="1">
      <c r="B49" s="72"/>
      <c r="C49" s="71" t="s">
        <v>19</v>
      </c>
      <c r="D49" s="71"/>
    </row>
    <row r="50" spans="2:4" ht="15" customHeight="1">
      <c r="B50" s="72"/>
      <c r="C50" s="71" t="s">
        <v>385</v>
      </c>
      <c r="D50" s="71"/>
    </row>
    <row r="51" spans="2:4" ht="15" customHeight="1">
      <c r="B51" s="72"/>
      <c r="C51" s="71" t="s">
        <v>386</v>
      </c>
      <c r="D51" s="71"/>
    </row>
    <row r="52" spans="2:4" ht="15" customHeight="1">
      <c r="B52" s="72"/>
      <c r="C52" s="71" t="s">
        <v>20</v>
      </c>
      <c r="D52" s="71"/>
    </row>
    <row r="53" spans="2:10" ht="15" customHeight="1">
      <c r="B53" s="612"/>
      <c r="C53" s="585"/>
      <c r="D53" s="585"/>
      <c r="E53" s="613"/>
      <c r="F53" s="613"/>
      <c r="G53" s="613"/>
      <c r="H53" s="613"/>
      <c r="I53" s="613"/>
      <c r="J53" s="614"/>
    </row>
    <row r="54" spans="2:9" ht="15" customHeight="1">
      <c r="B54" s="606" t="s">
        <v>376</v>
      </c>
      <c r="C54" s="71"/>
      <c r="D54" s="30"/>
      <c r="E54" s="30"/>
      <c r="F54" s="30"/>
      <c r="G54" s="30"/>
      <c r="H54" s="30"/>
      <c r="I54" s="30"/>
    </row>
    <row r="55" spans="1:9" ht="24.75" customHeight="1">
      <c r="A55" s="578"/>
      <c r="B55" s="1177" t="s">
        <v>380</v>
      </c>
      <c r="C55" s="1178"/>
      <c r="D55" s="1178"/>
      <c r="E55" s="1178"/>
      <c r="F55" s="1178"/>
      <c r="G55" s="1178"/>
      <c r="H55" s="1178"/>
      <c r="I55" s="30"/>
    </row>
    <row r="56" spans="2:4" ht="15" customHeight="1">
      <c r="B56" s="606" t="s">
        <v>570</v>
      </c>
      <c r="C56" s="71"/>
      <c r="D56" s="71"/>
    </row>
    <row r="57" spans="2:4" ht="15" customHeight="1">
      <c r="B57" s="606" t="s">
        <v>377</v>
      </c>
      <c r="C57" s="71"/>
      <c r="D57" s="71"/>
    </row>
    <row r="58" spans="2:4" ht="15" customHeight="1">
      <c r="B58" s="607" t="s">
        <v>378</v>
      </c>
      <c r="C58" s="71"/>
      <c r="D58" s="71"/>
    </row>
    <row r="59" ht="15" customHeight="1" thickBot="1">
      <c r="C59" s="38"/>
    </row>
    <row r="60" spans="1:11" ht="30" customHeight="1" thickBot="1">
      <c r="A60" s="37"/>
      <c r="B60" s="75" t="s">
        <v>21</v>
      </c>
      <c r="C60" s="90" t="s">
        <v>22</v>
      </c>
      <c r="D60" s="50"/>
      <c r="E60" s="49"/>
      <c r="F60" s="49"/>
      <c r="G60" s="49"/>
      <c r="H60" s="49"/>
      <c r="I60" s="49"/>
      <c r="J60" s="76"/>
      <c r="K60" s="92"/>
    </row>
    <row r="61" ht="15" customHeight="1"/>
    <row r="62" spans="2:4" ht="18" customHeight="1">
      <c r="B62" s="42" t="s">
        <v>23</v>
      </c>
      <c r="C62" s="4"/>
      <c r="D62" s="4"/>
    </row>
    <row r="63" ht="9" customHeight="1">
      <c r="C63" s="38"/>
    </row>
    <row r="64" spans="2:4" ht="15" customHeight="1">
      <c r="B64" s="72"/>
      <c r="C64" s="73" t="s">
        <v>24</v>
      </c>
      <c r="D64" s="4"/>
    </row>
    <row r="65" spans="3:4" ht="15" customHeight="1">
      <c r="C65" s="73" t="s">
        <v>25</v>
      </c>
      <c r="D65" s="4"/>
    </row>
    <row r="66" spans="2:4" ht="15" customHeight="1">
      <c r="B66" s="72"/>
      <c r="C66" s="73" t="s">
        <v>275</v>
      </c>
      <c r="D66" s="4"/>
    </row>
    <row r="67" spans="2:4" ht="15" customHeight="1">
      <c r="B67" s="72"/>
      <c r="C67" s="73" t="s">
        <v>26</v>
      </c>
      <c r="D67" s="4"/>
    </row>
    <row r="68" spans="2:4" ht="15" customHeight="1">
      <c r="B68" s="39"/>
      <c r="D68" s="4"/>
    </row>
    <row r="69" spans="1:4" ht="18" customHeight="1">
      <c r="A69" s="37"/>
      <c r="B69" s="42" t="str">
        <f>"Tatsächliche Milchleistung (Zeile "&amp;Betriebsdaten!B17&amp;")"</f>
        <v>Tatsächliche Milchleistung (Zeile 4)</v>
      </c>
      <c r="C69" s="4"/>
      <c r="D69" s="4"/>
    </row>
    <row r="70" ht="9" customHeight="1">
      <c r="C70" s="38"/>
    </row>
    <row r="71" spans="2:4" ht="15" customHeight="1">
      <c r="B71" s="72"/>
      <c r="C71" s="579" t="s">
        <v>306</v>
      </c>
      <c r="D71" s="4"/>
    </row>
    <row r="72" spans="2:4" ht="15" customHeight="1">
      <c r="B72" s="39"/>
      <c r="C72" s="579" t="s">
        <v>307</v>
      </c>
      <c r="D72" s="4"/>
    </row>
    <row r="73" spans="3:11" ht="15" customHeight="1">
      <c r="C73" s="73"/>
      <c r="K73" s="93"/>
    </row>
    <row r="74" spans="2:11" ht="18" customHeight="1">
      <c r="B74" s="42" t="str">
        <f>"Was kostet das zusätzlich benötigte Grundfutter? (Zeile "&amp;Betriebsdaten!B31&amp;"-"&amp;Betriebsdaten!B32&amp;")"</f>
        <v>Was kostet das zusätzlich benötigte Grundfutter? (Zeile 6-7)</v>
      </c>
      <c r="C74" s="4"/>
      <c r="D74" s="4"/>
      <c r="K74" s="93"/>
    </row>
    <row r="75" ht="9" customHeight="1">
      <c r="C75" s="38"/>
    </row>
    <row r="76" spans="2:4" ht="15" customHeight="1">
      <c r="B76" s="72"/>
      <c r="C76" s="73" t="s">
        <v>276</v>
      </c>
      <c r="D76" s="4"/>
    </row>
    <row r="77" spans="2:12" ht="15" customHeight="1">
      <c r="B77" s="72"/>
      <c r="C77" s="579" t="s">
        <v>387</v>
      </c>
      <c r="L77" s="41"/>
    </row>
    <row r="78" spans="3:12" ht="15" customHeight="1">
      <c r="C78" s="579" t="s">
        <v>388</v>
      </c>
      <c r="L78" s="41"/>
    </row>
    <row r="79" spans="2:3" ht="15" customHeight="1">
      <c r="B79" s="72"/>
      <c r="C79" s="579" t="str">
        <f>"Die Kosten für Lagerraum werden bei den Baukosten (Zeilen "&amp;Investition!B15&amp;" bis "&amp;Investition!B19&amp;") berücksichtigt,"</f>
        <v>Die Kosten für Lagerraum werden bei den Baukosten (Zeilen 49 bis 53) berücksichtigt,</v>
      </c>
    </row>
    <row r="80" ht="15" customHeight="1">
      <c r="C80" s="579" t="str">
        <f>"der zusätzliche Arbeitszeitbedarf wird in (Zeile "&amp;Betriebsdaten!B51&amp;") ausgewiesen."</f>
        <v>der zusätzliche Arbeitszeitbedarf wird in (Zeile 10) ausgewiesen.</v>
      </c>
    </row>
    <row r="81" ht="15" customHeight="1">
      <c r="C81" s="579" t="s">
        <v>586</v>
      </c>
    </row>
    <row r="82" ht="15" customHeight="1">
      <c r="C82" s="579" t="s">
        <v>389</v>
      </c>
    </row>
    <row r="83" ht="15" customHeight="1">
      <c r="C83" s="38"/>
    </row>
    <row r="84" spans="1:4" ht="18" customHeight="1">
      <c r="A84" s="37"/>
      <c r="B84" s="531" t="s">
        <v>27</v>
      </c>
      <c r="D84" s="4"/>
    </row>
    <row r="85" ht="9" customHeight="1" thickBot="1">
      <c r="C85" s="38"/>
    </row>
    <row r="86" spans="2:11" ht="25.5" customHeight="1">
      <c r="B86" s="55"/>
      <c r="C86" s="56"/>
      <c r="D86" s="57" t="s">
        <v>28</v>
      </c>
      <c r="E86" s="57" t="s">
        <v>29</v>
      </c>
      <c r="F86" s="57" t="s">
        <v>30</v>
      </c>
      <c r="G86" s="57" t="s">
        <v>31</v>
      </c>
      <c r="H86" s="57" t="s">
        <v>384</v>
      </c>
      <c r="I86" s="58" t="s">
        <v>32</v>
      </c>
      <c r="J86" s="59"/>
      <c r="K86" s="2"/>
    </row>
    <row r="87" spans="2:11" ht="21" customHeight="1">
      <c r="B87" s="53" t="s">
        <v>390</v>
      </c>
      <c r="C87" s="54"/>
      <c r="D87" s="60"/>
      <c r="E87" s="60" t="s">
        <v>33</v>
      </c>
      <c r="F87" s="60"/>
      <c r="G87" s="60" t="s">
        <v>34</v>
      </c>
      <c r="H87" s="67" t="s">
        <v>577</v>
      </c>
      <c r="I87" s="60" t="s">
        <v>36</v>
      </c>
      <c r="J87" s="61" t="s">
        <v>37</v>
      </c>
      <c r="K87" s="2"/>
    </row>
    <row r="88" spans="2:11" s="64" customFormat="1" ht="15" customHeight="1">
      <c r="B88" s="65"/>
      <c r="C88" s="66"/>
      <c r="D88" s="67" t="s">
        <v>237</v>
      </c>
      <c r="E88" s="67" t="s">
        <v>238</v>
      </c>
      <c r="F88" s="67" t="s">
        <v>238</v>
      </c>
      <c r="G88" s="67" t="s">
        <v>238</v>
      </c>
      <c r="H88" s="67" t="s">
        <v>238</v>
      </c>
      <c r="I88" s="68" t="s">
        <v>226</v>
      </c>
      <c r="J88" s="69"/>
      <c r="K88" s="94"/>
    </row>
    <row r="89" spans="2:11" ht="15" customHeight="1">
      <c r="B89" s="43" t="s">
        <v>38</v>
      </c>
      <c r="C89" s="44"/>
      <c r="D89" s="45"/>
      <c r="E89" s="45"/>
      <c r="F89" s="45"/>
      <c r="G89" s="45"/>
      <c r="H89" s="45"/>
      <c r="I89" s="45"/>
      <c r="J89" s="46"/>
      <c r="K89" s="2"/>
    </row>
    <row r="90" spans="2:11" ht="15" customHeight="1">
      <c r="B90" s="88" t="s">
        <v>39</v>
      </c>
      <c r="C90" s="47"/>
      <c r="D90" s="77">
        <v>3000</v>
      </c>
      <c r="E90" s="78">
        <v>500</v>
      </c>
      <c r="F90" s="77">
        <v>50</v>
      </c>
      <c r="G90" s="78">
        <v>250</v>
      </c>
      <c r="H90" s="77">
        <v>350</v>
      </c>
      <c r="I90" s="77">
        <f>E90+F90+G90-H90</f>
        <v>450</v>
      </c>
      <c r="J90" s="79">
        <f>I90/D90</f>
        <v>0.15</v>
      </c>
      <c r="K90" s="2"/>
    </row>
    <row r="91" spans="2:11" ht="15" customHeight="1">
      <c r="B91" s="88" t="s">
        <v>40</v>
      </c>
      <c r="C91" s="47"/>
      <c r="D91" s="77">
        <v>4000</v>
      </c>
      <c r="E91" s="78">
        <v>600</v>
      </c>
      <c r="F91" s="77">
        <v>150</v>
      </c>
      <c r="G91" s="78">
        <v>300</v>
      </c>
      <c r="H91" s="77">
        <v>300</v>
      </c>
      <c r="I91" s="77">
        <f aca="true" t="shared" si="0" ref="I91:I96">E91+F91+G91-H91</f>
        <v>750</v>
      </c>
      <c r="J91" s="79">
        <f aca="true" t="shared" si="1" ref="J91:J96">I91/D91</f>
        <v>0.1875</v>
      </c>
      <c r="K91" s="2"/>
    </row>
    <row r="92" spans="2:11" ht="15" customHeight="1">
      <c r="B92" s="88" t="s">
        <v>41</v>
      </c>
      <c r="C92" s="47"/>
      <c r="D92" s="77">
        <v>5000</v>
      </c>
      <c r="E92" s="78">
        <v>750</v>
      </c>
      <c r="F92" s="77">
        <v>300</v>
      </c>
      <c r="G92" s="78">
        <v>350</v>
      </c>
      <c r="H92" s="77">
        <v>250</v>
      </c>
      <c r="I92" s="80">
        <f t="shared" si="0"/>
        <v>1150</v>
      </c>
      <c r="J92" s="81">
        <f t="shared" si="1"/>
        <v>0.23</v>
      </c>
      <c r="K92" s="2"/>
    </row>
    <row r="93" spans="2:10" ht="15" customHeight="1">
      <c r="B93" s="43" t="s">
        <v>42</v>
      </c>
      <c r="C93" s="44"/>
      <c r="D93" s="82"/>
      <c r="E93" s="82"/>
      <c r="F93" s="82"/>
      <c r="G93" s="82"/>
      <c r="H93" s="82"/>
      <c r="I93" s="78">
        <f t="shared" si="0"/>
        <v>0</v>
      </c>
      <c r="J93" s="79"/>
    </row>
    <row r="94" spans="2:10" ht="15" customHeight="1">
      <c r="B94" s="88" t="s">
        <v>39</v>
      </c>
      <c r="C94" s="47"/>
      <c r="D94" s="77">
        <v>6000</v>
      </c>
      <c r="E94" s="78">
        <v>850</v>
      </c>
      <c r="F94" s="77">
        <v>150</v>
      </c>
      <c r="G94" s="78">
        <v>300</v>
      </c>
      <c r="H94" s="77">
        <v>350</v>
      </c>
      <c r="I94" s="83">
        <f t="shared" si="0"/>
        <v>950</v>
      </c>
      <c r="J94" s="84">
        <f t="shared" si="1"/>
        <v>0.15833333333333333</v>
      </c>
    </row>
    <row r="95" spans="2:10" ht="15" customHeight="1">
      <c r="B95" s="88" t="s">
        <v>40</v>
      </c>
      <c r="C95" s="47"/>
      <c r="D95" s="77">
        <v>7000</v>
      </c>
      <c r="E95" s="78">
        <v>925</v>
      </c>
      <c r="F95" s="77">
        <v>250</v>
      </c>
      <c r="G95" s="78">
        <v>300</v>
      </c>
      <c r="H95" s="77">
        <v>300</v>
      </c>
      <c r="I95" s="77">
        <f t="shared" si="0"/>
        <v>1175</v>
      </c>
      <c r="J95" s="79">
        <f t="shared" si="1"/>
        <v>0.16785714285714284</v>
      </c>
    </row>
    <row r="96" spans="2:10" ht="15" customHeight="1" thickBot="1">
      <c r="B96" s="89" t="s">
        <v>41</v>
      </c>
      <c r="C96" s="48"/>
      <c r="D96" s="85">
        <v>8000</v>
      </c>
      <c r="E96" s="86">
        <v>1000</v>
      </c>
      <c r="F96" s="85">
        <v>400</v>
      </c>
      <c r="G96" s="86">
        <v>300</v>
      </c>
      <c r="H96" s="85">
        <v>250</v>
      </c>
      <c r="I96" s="85">
        <f t="shared" si="0"/>
        <v>1450</v>
      </c>
      <c r="J96" s="87">
        <f t="shared" si="1"/>
        <v>0.18125</v>
      </c>
    </row>
    <row r="97" ht="15" customHeight="1"/>
    <row r="98" spans="1:12" ht="18" customHeight="1">
      <c r="A98" s="37"/>
      <c r="B98" s="52" t="str">
        <f>"Wie erfolgt die Quotenaufstockung ? (Zeile "&amp;Betriebsdaten!B42&amp;")"</f>
        <v>Wie erfolgt die Quotenaufstockung ? (Zeile 8)</v>
      </c>
      <c r="C98" s="4"/>
      <c r="D98" s="4"/>
      <c r="L98" s="41"/>
    </row>
    <row r="99" spans="3:12" ht="9" customHeight="1">
      <c r="C99" s="38"/>
      <c r="L99" s="41"/>
    </row>
    <row r="100" spans="2:4" ht="15" customHeight="1">
      <c r="B100" s="72"/>
      <c r="C100" s="579" t="s">
        <v>336</v>
      </c>
      <c r="D100" s="4"/>
    </row>
    <row r="101" ht="15" customHeight="1">
      <c r="C101" s="579" t="s">
        <v>396</v>
      </c>
    </row>
    <row r="102" ht="15" customHeight="1">
      <c r="C102" s="579"/>
    </row>
    <row r="103" ht="15" customHeight="1">
      <c r="C103" s="579"/>
    </row>
    <row r="104" spans="1:4" ht="18" customHeight="1">
      <c r="A104" s="37"/>
      <c r="B104" s="52" t="str">
        <f>"Auswirkungen auf Arbeitszeitaufwand und Einkommen anderer Betriebszweige (Zeile "&amp;Betriebsdaten!B47&amp;"-"&amp;Betriebsdaten!B55&amp;")"</f>
        <v>Auswirkungen auf Arbeitszeitaufwand und Einkommen anderer Betriebszweige (Zeile 9-12)</v>
      </c>
      <c r="C104" s="4"/>
      <c r="D104" s="4"/>
    </row>
    <row r="105" spans="2:4" ht="9" customHeight="1">
      <c r="B105" s="52"/>
      <c r="C105" s="4"/>
      <c r="D105" s="4"/>
    </row>
    <row r="106" spans="2:12" ht="15" customHeight="1">
      <c r="B106" s="72"/>
      <c r="C106" s="71" t="s">
        <v>308</v>
      </c>
      <c r="D106" s="4"/>
      <c r="L106" s="73"/>
    </row>
    <row r="107" spans="2:12" ht="15" customHeight="1">
      <c r="B107" s="72"/>
      <c r="C107" s="71" t="s">
        <v>309</v>
      </c>
      <c r="L107" s="73"/>
    </row>
    <row r="108" spans="2:4" ht="15" customHeight="1">
      <c r="B108" s="72"/>
      <c r="C108" s="73" t="str">
        <f>"In Zeile "&amp;Betriebsdaten!B51&amp;" kann der veränderte Arbeitszeitbedarf der neuen Betriebsorganisation berücksichtigt werden."</f>
        <v>In Zeile 10 kann der veränderte Arbeitszeitbedarf der neuen Betriebsorganisation berücksichtigt werden.</v>
      </c>
      <c r="D108" s="4"/>
    </row>
    <row r="109" spans="2:4" ht="15" customHeight="1">
      <c r="B109" s="72"/>
      <c r="C109" s="73" t="str">
        <f>"In Zeile "&amp;Betriebsdaten!B53&amp;" sind die DB-Einbußen in anderen Betriebszweigen ohne negatives Vorzeichen einzugeben."</f>
        <v>In Zeile 11 sind die DB-Einbußen in anderen Betriebszweigen ohne negatives Vorzeichen einzugeben.</v>
      </c>
      <c r="D109" s="4"/>
    </row>
    <row r="110" spans="2:4" ht="15" customHeight="1">
      <c r="B110" s="72"/>
      <c r="C110" s="579" t="str">
        <f>"In Zeile "&amp;Betriebsdaten!B55&amp;" kann die angestrebte Einkommenserhöhung aus dem landwirtschaftlichen Betrieb eingegeben "</f>
        <v>In Zeile 12 kann die angestrebte Einkommenserhöhung aus dem landwirtschaftlichen Betrieb eingegeben </v>
      </c>
      <c r="D110" s="41"/>
    </row>
    <row r="111" spans="2:4" ht="15" customHeight="1">
      <c r="B111" s="72"/>
      <c r="C111" s="579" t="s">
        <v>310</v>
      </c>
      <c r="D111" s="41"/>
    </row>
    <row r="112" spans="2:4" ht="15" customHeight="1">
      <c r="B112" s="72"/>
      <c r="C112" s="579" t="s">
        <v>311</v>
      </c>
      <c r="D112" s="41"/>
    </row>
    <row r="113" spans="2:4" ht="15" customHeight="1" thickBot="1">
      <c r="B113" s="39"/>
      <c r="D113" s="41"/>
    </row>
    <row r="114" spans="1:11" ht="30" customHeight="1" thickBot="1">
      <c r="A114" s="37"/>
      <c r="B114" s="75" t="s">
        <v>43</v>
      </c>
      <c r="C114" s="90" t="s">
        <v>44</v>
      </c>
      <c r="D114" s="50"/>
      <c r="E114" s="49"/>
      <c r="F114" s="49"/>
      <c r="G114" s="49"/>
      <c r="H114" s="49"/>
      <c r="I114" s="49"/>
      <c r="J114" s="76"/>
      <c r="K114" s="92"/>
    </row>
    <row r="115" spans="2:4" ht="15" customHeight="1">
      <c r="B115" s="39"/>
      <c r="D115" s="41"/>
    </row>
    <row r="116" spans="2:12" ht="18" customHeight="1">
      <c r="B116" s="42" t="str">
        <f>"Deckungsbeitrag je Kuh und je kg Milch (Zeile "&amp;'DB-Milchvieh'!B4&amp;"-"&amp;'DB-Milchvieh'!B26&amp;")"</f>
        <v>Deckungsbeitrag je Kuh und je kg Milch (Zeile 13-33)</v>
      </c>
      <c r="C116" s="4"/>
      <c r="D116" s="41"/>
      <c r="L116" s="73"/>
    </row>
    <row r="117" spans="3:12" ht="9" customHeight="1">
      <c r="C117" s="38"/>
      <c r="K117" s="95"/>
      <c r="L117" s="73"/>
    </row>
    <row r="118" spans="2:4" ht="15" customHeight="1">
      <c r="B118" s="72"/>
      <c r="C118" s="579" t="s">
        <v>312</v>
      </c>
      <c r="D118" s="41"/>
    </row>
    <row r="119" spans="2:12" ht="15" customHeight="1">
      <c r="B119" s="39"/>
      <c r="C119" s="73" t="s">
        <v>313</v>
      </c>
      <c r="D119" s="41"/>
      <c r="L119" s="71"/>
    </row>
    <row r="120" spans="2:12" ht="15" customHeight="1">
      <c r="B120" s="72"/>
      <c r="C120" s="579" t="s">
        <v>353</v>
      </c>
      <c r="D120" s="41"/>
      <c r="L120" s="73"/>
    </row>
    <row r="121" spans="2:12" ht="15" customHeight="1">
      <c r="B121" s="72"/>
      <c r="C121" s="73" t="s">
        <v>354</v>
      </c>
      <c r="D121" s="41"/>
      <c r="L121" s="73"/>
    </row>
    <row r="122" spans="2:4" ht="15" customHeight="1">
      <c r="B122" s="72"/>
      <c r="C122" s="579" t="s">
        <v>391</v>
      </c>
      <c r="D122" s="41"/>
    </row>
    <row r="123" spans="2:4" ht="15" customHeight="1">
      <c r="B123" s="72"/>
      <c r="C123" s="579" t="str">
        <f>"Der Grundfutterbedarf je Kuh (Zeile "&amp;'DB-Milchvieh'!B15&amp;") wird aufgrund der Milchleistung und Grundfutterleistung programm-"</f>
        <v>Der Grundfutterbedarf je Kuh (Zeile 22) wird aufgrund der Milchleistung und Grundfutterleistung programm-</v>
      </c>
      <c r="D123" s="41"/>
    </row>
    <row r="124" spans="2:4" ht="15" customHeight="1">
      <c r="B124" s="72"/>
      <c r="C124" s="579" t="s">
        <v>314</v>
      </c>
      <c r="D124" s="41"/>
    </row>
    <row r="125" spans="2:4" ht="15" customHeight="1">
      <c r="B125" s="72"/>
      <c r="C125" s="579" t="s">
        <v>316</v>
      </c>
      <c r="D125" s="41"/>
    </row>
    <row r="126" spans="2:4" ht="15" customHeight="1">
      <c r="B126" s="72"/>
      <c r="C126" s="579" t="s">
        <v>315</v>
      </c>
      <c r="D126" s="41"/>
    </row>
    <row r="127" spans="2:4" ht="15" customHeight="1">
      <c r="B127" s="72"/>
      <c r="C127" s="579" t="s">
        <v>317</v>
      </c>
      <c r="D127" s="41"/>
    </row>
    <row r="128" spans="2:4" ht="15" customHeight="1">
      <c r="B128" s="72"/>
      <c r="C128" s="579" t="s">
        <v>318</v>
      </c>
      <c r="D128" s="41"/>
    </row>
    <row r="129" spans="2:4" ht="15" customHeight="1">
      <c r="B129" s="72"/>
      <c r="C129" s="578"/>
      <c r="D129" s="41"/>
    </row>
    <row r="130" spans="2:4" ht="18" customHeight="1">
      <c r="B130" s="42" t="str">
        <f>"Berechnung des zusätzlichen DB aus einer Leistungssteigerung (Zeile "&amp;'DB-Milchvieh'!B30&amp;"-"&amp;'DB-Milchvieh'!B38&amp;")"</f>
        <v>Berechnung des zusätzlichen DB aus einer Leistungssteigerung (Zeile 34-42)</v>
      </c>
      <c r="C130" s="73"/>
      <c r="D130" s="41"/>
    </row>
    <row r="131" spans="3:12" ht="9" customHeight="1">
      <c r="C131" s="38"/>
      <c r="L131" s="73"/>
    </row>
    <row r="132" spans="2:12" ht="15" customHeight="1">
      <c r="B132" s="72"/>
      <c r="C132" s="579" t="s">
        <v>319</v>
      </c>
      <c r="D132" s="41"/>
      <c r="L132" s="73"/>
    </row>
    <row r="133" spans="2:12" ht="15" customHeight="1">
      <c r="B133" s="72"/>
      <c r="C133" s="579" t="s">
        <v>320</v>
      </c>
      <c r="D133" s="41"/>
      <c r="L133" s="73"/>
    </row>
    <row r="134" spans="2:12" ht="15" customHeight="1">
      <c r="B134" s="72"/>
      <c r="C134" s="579" t="str">
        <f>"Die in den Zeilen "&amp;'DB-Milchvieh'!B32&amp;"-"&amp;'DB-Milchvieh'!B35&amp;" einzugebenden Daten beziehen sich jeweils auf eine Leistungssteigerung von "</f>
        <v>Die in den Zeilen 36-39 einzugebenden Daten beziehen sich jeweils auf eine Leistungssteigerung von </v>
      </c>
      <c r="D134" s="41"/>
      <c r="L134" s="73"/>
    </row>
    <row r="135" spans="3:12" ht="15" customHeight="1">
      <c r="C135" s="579" t="s">
        <v>321</v>
      </c>
      <c r="D135" s="41"/>
      <c r="L135" s="73"/>
    </row>
    <row r="136" spans="2:12" ht="15" customHeight="1">
      <c r="B136" s="72"/>
      <c r="C136" s="579" t="s">
        <v>322</v>
      </c>
      <c r="D136" s="41"/>
      <c r="L136" s="73"/>
    </row>
    <row r="137" spans="3:12" ht="15" customHeight="1">
      <c r="C137" s="579" t="s">
        <v>323</v>
      </c>
      <c r="D137" s="41"/>
      <c r="L137" s="73"/>
    </row>
    <row r="138" spans="2:12" ht="15" customHeight="1">
      <c r="B138" s="72"/>
      <c r="C138" s="579" t="s">
        <v>324</v>
      </c>
      <c r="D138" s="41"/>
      <c r="L138" s="73"/>
    </row>
    <row r="139" spans="3:4" ht="15" customHeight="1">
      <c r="C139" s="579" t="s">
        <v>325</v>
      </c>
      <c r="D139" s="41"/>
    </row>
    <row r="140" spans="2:4" ht="15" customHeight="1" thickBot="1">
      <c r="B140" s="39"/>
      <c r="D140" s="41"/>
    </row>
    <row r="141" spans="1:11" ht="30" customHeight="1" thickBot="1">
      <c r="A141" s="37"/>
      <c r="B141" s="75" t="s">
        <v>45</v>
      </c>
      <c r="C141" s="90" t="s">
        <v>13</v>
      </c>
      <c r="D141" s="50"/>
      <c r="E141" s="49"/>
      <c r="F141" s="49"/>
      <c r="G141" s="49"/>
      <c r="H141" s="49"/>
      <c r="I141" s="49"/>
      <c r="J141" s="76"/>
      <c r="K141" s="92"/>
    </row>
    <row r="142" ht="15" customHeight="1">
      <c r="D142" s="41"/>
    </row>
    <row r="143" spans="2:11" ht="15" customHeight="1">
      <c r="B143" s="532" t="s">
        <v>355</v>
      </c>
      <c r="D143" s="533"/>
      <c r="E143" s="533"/>
      <c r="F143" s="51"/>
      <c r="G143" s="51"/>
      <c r="H143" s="51"/>
      <c r="I143" s="51"/>
      <c r="J143" s="51"/>
      <c r="K143" s="534"/>
    </row>
    <row r="144" spans="3:11" ht="15" customHeight="1">
      <c r="C144" s="51"/>
      <c r="D144" s="51"/>
      <c r="E144" s="51"/>
      <c r="F144" s="51"/>
      <c r="G144" s="51"/>
      <c r="H144" s="51"/>
      <c r="I144" s="51"/>
      <c r="J144" s="51"/>
      <c r="K144" s="534"/>
    </row>
    <row r="145" spans="2:11" ht="15" customHeight="1">
      <c r="B145" s="535"/>
      <c r="C145" s="580" t="s">
        <v>400</v>
      </c>
      <c r="E145" s="533"/>
      <c r="F145" s="51"/>
      <c r="G145" s="51"/>
      <c r="H145" s="51"/>
      <c r="I145" s="51"/>
      <c r="J145" s="51"/>
      <c r="K145" s="534"/>
    </row>
    <row r="146" spans="2:11" ht="15" customHeight="1">
      <c r="B146" s="536"/>
      <c r="C146" s="580" t="s">
        <v>401</v>
      </c>
      <c r="E146" s="533"/>
      <c r="F146" s="51"/>
      <c r="G146" s="51"/>
      <c r="H146" s="51"/>
      <c r="I146" s="51"/>
      <c r="J146" s="51"/>
      <c r="K146" s="534"/>
    </row>
    <row r="147" spans="2:11" ht="15" customHeight="1">
      <c r="B147" s="536"/>
      <c r="C147" s="580" t="s">
        <v>392</v>
      </c>
      <c r="E147" s="533"/>
      <c r="F147" s="51"/>
      <c r="G147" s="51"/>
      <c r="H147" s="51"/>
      <c r="I147" s="51"/>
      <c r="J147" s="51"/>
      <c r="K147" s="534"/>
    </row>
    <row r="148" spans="2:11" ht="15" customHeight="1">
      <c r="B148" s="39"/>
      <c r="C148" s="535"/>
      <c r="D148" s="580"/>
      <c r="E148" s="533"/>
      <c r="F148" s="51"/>
      <c r="G148" s="51"/>
      <c r="H148" s="51"/>
      <c r="I148" s="51"/>
      <c r="J148" s="51"/>
      <c r="K148" s="534"/>
    </row>
    <row r="149" spans="2:11" ht="15" customHeight="1">
      <c r="B149" s="535"/>
      <c r="C149" s="74" t="str">
        <f>"Der maximal förderfähige Betrag kann durch die Auswahlliste eingestellt werden (Zeile "&amp;Investition!B10&amp;")."</f>
        <v>Der maximal förderfähige Betrag kann durch die Auswahlliste eingestellt werden (Zeile 44).</v>
      </c>
      <c r="D149" s="580"/>
      <c r="E149" s="533"/>
      <c r="F149" s="51"/>
      <c r="G149" s="51"/>
      <c r="H149" s="51"/>
      <c r="I149" s="51"/>
      <c r="J149" s="51"/>
      <c r="K149" s="534"/>
    </row>
    <row r="150" spans="2:11" ht="15" customHeight="1">
      <c r="B150" s="39"/>
      <c r="C150" s="74" t="s">
        <v>365</v>
      </c>
      <c r="D150" s="580"/>
      <c r="E150" s="533"/>
      <c r="F150" s="51"/>
      <c r="G150" s="51"/>
      <c r="H150" s="51"/>
      <c r="I150" s="51"/>
      <c r="J150" s="51"/>
      <c r="K150" s="534"/>
    </row>
    <row r="151" spans="2:11" ht="15" customHeight="1">
      <c r="B151" s="39"/>
      <c r="C151" s="38"/>
      <c r="D151" s="74"/>
      <c r="E151" s="533"/>
      <c r="F151" s="51"/>
      <c r="G151" s="576"/>
      <c r="H151" s="51"/>
      <c r="I151" s="51"/>
      <c r="J151" s="51"/>
      <c r="K151" s="534"/>
    </row>
    <row r="152" spans="2:11" ht="15" customHeight="1">
      <c r="B152" s="39"/>
      <c r="C152" s="71" t="s">
        <v>402</v>
      </c>
      <c r="D152" s="74"/>
      <c r="E152" s="533"/>
      <c r="F152" s="51"/>
      <c r="G152" s="576"/>
      <c r="H152" s="51"/>
      <c r="I152" s="51"/>
      <c r="J152" s="51"/>
      <c r="K152" s="534"/>
    </row>
    <row r="153" spans="2:11" ht="15" customHeight="1">
      <c r="B153" s="39"/>
      <c r="C153" s="71" t="s">
        <v>578</v>
      </c>
      <c r="D153" s="74"/>
      <c r="E153" s="533"/>
      <c r="F153" s="51"/>
      <c r="G153" s="576"/>
      <c r="H153" s="51"/>
      <c r="I153" s="51"/>
      <c r="J153" s="51"/>
      <c r="K153" s="534"/>
    </row>
    <row r="154" spans="2:11" ht="15" customHeight="1">
      <c r="B154" s="39"/>
      <c r="C154" s="38"/>
      <c r="D154" s="74"/>
      <c r="E154" s="533"/>
      <c r="F154" s="51"/>
      <c r="G154" s="576"/>
      <c r="H154" s="51"/>
      <c r="I154" s="51"/>
      <c r="J154" s="51"/>
      <c r="K154" s="534"/>
    </row>
    <row r="155" spans="2:11" ht="15" customHeight="1">
      <c r="B155" s="535"/>
      <c r="C155" s="74" t="str">
        <f>"Zur Zeit (Stand: März 2010) können bei der Erschließung (Zeile "&amp;Investition!B22&amp;") die Kosten mit einem Anteil von"</f>
        <v>Zur Zeit (Stand: März 2010) können bei der Erschließung (Zeile 56) die Kosten mit einem Anteil von</v>
      </c>
      <c r="D155" s="580"/>
      <c r="E155" s="533"/>
      <c r="F155" s="51"/>
      <c r="G155" s="51"/>
      <c r="H155" s="51"/>
      <c r="I155" s="51"/>
      <c r="J155" s="51"/>
      <c r="K155" s="534"/>
    </row>
    <row r="156" spans="2:11" ht="15" customHeight="1">
      <c r="B156" s="39"/>
      <c r="C156" s="74" t="s">
        <v>579</v>
      </c>
      <c r="D156" s="580"/>
      <c r="E156" s="533"/>
      <c r="F156" s="51"/>
      <c r="G156" s="51"/>
      <c r="H156" s="51"/>
      <c r="I156" s="51"/>
      <c r="J156" s="51"/>
      <c r="K156" s="534"/>
    </row>
    <row r="157" spans="2:11" ht="15" customHeight="1" thickBot="1">
      <c r="B157" s="39"/>
      <c r="C157" s="535"/>
      <c r="D157" s="580"/>
      <c r="E157" s="533"/>
      <c r="F157" s="51"/>
      <c r="G157" s="51"/>
      <c r="H157" s="51"/>
      <c r="I157" s="51"/>
      <c r="J157" s="51"/>
      <c r="K157" s="534"/>
    </row>
    <row r="158" spans="1:11" ht="30" customHeight="1" thickBot="1">
      <c r="A158" s="37"/>
      <c r="B158" s="75" t="s">
        <v>47</v>
      </c>
      <c r="C158" s="90" t="s">
        <v>46</v>
      </c>
      <c r="D158" s="50"/>
      <c r="E158" s="49"/>
      <c r="F158" s="49"/>
      <c r="G158" s="49"/>
      <c r="H158" s="49"/>
      <c r="I158" s="49"/>
      <c r="J158" s="76"/>
      <c r="K158" s="92"/>
    </row>
    <row r="159" ht="15" customHeight="1"/>
    <row r="160" spans="2:3" ht="15" customHeight="1">
      <c r="B160" s="72"/>
      <c r="C160" s="73" t="str">
        <f>"In den Zeilen "&amp;Finanzierung!A17&amp;" bis "&amp;Finanzierung!A24&amp;" ist die zutreffende Art der Förderung auszuwählen. Die entsprechenden Förderbeträge "</f>
        <v>In den Zeilen 80 bis 87 ist die zutreffende Art der Förderung auszuwählen. Die entsprechenden Förderbeträge </v>
      </c>
    </row>
    <row r="161" spans="2:3" ht="15" customHeight="1">
      <c r="B161" s="72"/>
      <c r="C161" s="73" t="s">
        <v>581</v>
      </c>
    </row>
    <row r="162" spans="2:3" ht="15" customHeight="1">
      <c r="B162" s="72"/>
      <c r="C162" s="579" t="s">
        <v>580</v>
      </c>
    </row>
    <row r="163" spans="2:3" ht="15" customHeight="1">
      <c r="B163" s="72"/>
      <c r="C163" s="579" t="s">
        <v>403</v>
      </c>
    </row>
    <row r="164" spans="3:11" ht="15" customHeight="1" hidden="1">
      <c r="C164" s="73"/>
      <c r="K164" s="73"/>
    </row>
    <row r="165" spans="1:11" ht="18" customHeight="1" hidden="1">
      <c r="A165" s="37"/>
      <c r="B165" s="40" t="str">
        <f>"Notwendige Arbeitskräfte im Ziel (Zeile "&amp;Betriebsdaten!B51&amp;")"</f>
        <v>Notwendige Arbeitskräfte im Ziel (Zeile 10)</v>
      </c>
      <c r="C165" s="71"/>
      <c r="K165" s="73"/>
    </row>
    <row r="166" spans="2:4" ht="9" customHeight="1" hidden="1">
      <c r="B166" s="39"/>
      <c r="C166" s="73"/>
      <c r="D166" s="4"/>
    </row>
    <row r="167" spans="2:3" ht="15" customHeight="1" hidden="1">
      <c r="B167" s="72"/>
      <c r="C167" s="579" t="s">
        <v>404</v>
      </c>
    </row>
    <row r="168" ht="15" customHeight="1" hidden="1">
      <c r="C168" s="579" t="s">
        <v>326</v>
      </c>
    </row>
    <row r="169" ht="15" customHeight="1">
      <c r="C169" s="579"/>
    </row>
    <row r="170" spans="1:11" ht="18" customHeight="1">
      <c r="A170" s="37"/>
      <c r="B170" s="40" t="str">
        <f>"Zuschüsse (Zeile "&amp;Finanzierung!A17&amp;"-"&amp;Finanzierung!A24&amp;")"</f>
        <v>Zuschüsse (Zeile 80-87)</v>
      </c>
      <c r="C170" s="4"/>
      <c r="K170" s="73"/>
    </row>
    <row r="171" spans="2:11" ht="9" customHeight="1">
      <c r="B171" s="39"/>
      <c r="D171" s="4"/>
      <c r="K171" s="73"/>
    </row>
    <row r="172" spans="2:11" ht="15" customHeight="1">
      <c r="B172" s="72"/>
      <c r="C172" s="579" t="str">
        <f>"Das Programm errechnet und zeigt die maximalen Zuschüsse auf Grund der Angaben in Zeile "&amp;Finanzierung!A17&amp;" bis "&amp;Finanzierung!A23</f>
        <v>Das Programm errechnet und zeigt die maximalen Zuschüsse auf Grund der Angaben in Zeile 80 bis 86</v>
      </c>
      <c r="K172" s="73"/>
    </row>
    <row r="173" spans="3:11" ht="15" customHeight="1">
      <c r="C173" s="579" t="s">
        <v>327</v>
      </c>
      <c r="K173" s="73"/>
    </row>
    <row r="174" spans="2:11" ht="15" customHeight="1">
      <c r="B174" s="72"/>
      <c r="C174" s="579" t="str">
        <f>"Eine Korrektur der errechneten Zuschüsse (z.B. durch De-Minimis) ist in Zeile "&amp;Finanzierung!A23&amp;" möglich"</f>
        <v>Eine Korrektur der errechneten Zuschüsse (z.B. durch De-Minimis) ist in Zeile 86 möglich</v>
      </c>
      <c r="K174" s="73"/>
    </row>
    <row r="175" spans="2:3" ht="15" customHeight="1">
      <c r="B175" s="72"/>
      <c r="C175" s="579" t="s">
        <v>405</v>
      </c>
    </row>
    <row r="176" ht="15" customHeight="1">
      <c r="C176" s="73" t="str">
        <f>"auf 400.000 € bzw. 40 % der förderfähigen Kosten ( Zeile "&amp;Finanzierung!A24&amp;"). Die Zuschüsse können für max. 2 Mio. €"</f>
        <v>auf 400.000 € bzw. 40 % der förderfähigen Kosten ( Zeile 87). Die Zuschüsse können für max. 2 Mio. €</v>
      </c>
    </row>
    <row r="177" ht="15" customHeight="1">
      <c r="C177" s="579" t="s">
        <v>406</v>
      </c>
    </row>
    <row r="178" ht="15" customHeight="1">
      <c r="C178" s="579" t="s">
        <v>407</v>
      </c>
    </row>
    <row r="179" ht="15" customHeight="1">
      <c r="C179" s="71"/>
    </row>
    <row r="180" spans="1:11" ht="18" customHeight="1">
      <c r="A180" s="37"/>
      <c r="B180" s="40" t="str">
        <f>"Kapitalmarktdarlehen (Zeile "&amp;Finanzierung!A26&amp;"-"&amp;Finanzierung!A30&amp;")"</f>
        <v>Kapitalmarktdarlehen (Zeile 89-93)</v>
      </c>
      <c r="C180" s="71"/>
      <c r="K180" s="41"/>
    </row>
    <row r="181" spans="2:4" ht="9" customHeight="1">
      <c r="B181" s="39"/>
      <c r="C181" s="73"/>
      <c r="D181" s="4"/>
    </row>
    <row r="182" spans="2:3" ht="15" customHeight="1">
      <c r="B182" s="72"/>
      <c r="C182" s="579" t="s">
        <v>582</v>
      </c>
    </row>
    <row r="183" ht="15" customHeight="1" hidden="1">
      <c r="C183" s="73" t="s">
        <v>408</v>
      </c>
    </row>
    <row r="184" ht="15" customHeight="1">
      <c r="C184" s="73"/>
    </row>
    <row r="185" spans="1:3" ht="18" customHeight="1">
      <c r="A185" s="37"/>
      <c r="B185" s="40" t="str">
        <f>"Bare Ausgaben (Zeile "&amp;Finanzierung!A31&amp;")"</f>
        <v>Bare Ausgaben (Zeile 94)</v>
      </c>
      <c r="C185" s="71"/>
    </row>
    <row r="186" spans="2:11" ht="9" customHeight="1">
      <c r="B186" s="39"/>
      <c r="C186" s="73"/>
      <c r="D186" s="4"/>
      <c r="K186" s="73"/>
    </row>
    <row r="187" spans="2:11" ht="15" customHeight="1">
      <c r="B187" s="72"/>
      <c r="C187" s="73" t="s">
        <v>569</v>
      </c>
      <c r="K187" s="73"/>
    </row>
    <row r="188" spans="2:11" ht="15" customHeight="1">
      <c r="B188" s="72"/>
      <c r="C188" s="73"/>
      <c r="K188" s="73"/>
    </row>
    <row r="189" spans="1:3" ht="18" customHeight="1">
      <c r="A189" s="37"/>
      <c r="B189" s="42" t="str">
        <f>"Bemessungsgrundlage für Abschreibung (Zeile "&amp;Finanzierung!A33&amp;")"</f>
        <v>Bemessungsgrundlage für Abschreibung (Zeile 96)</v>
      </c>
      <c r="C189" s="71"/>
    </row>
    <row r="190" spans="2:4" ht="9" customHeight="1">
      <c r="B190" s="39"/>
      <c r="C190" s="73"/>
      <c r="D190" s="4"/>
    </row>
    <row r="191" spans="2:11" ht="15" customHeight="1">
      <c r="B191" s="72"/>
      <c r="C191" s="71" t="s">
        <v>583</v>
      </c>
      <c r="K191" s="71"/>
    </row>
    <row r="192" ht="15" customHeight="1">
      <c r="C192" s="73" t="s">
        <v>584</v>
      </c>
    </row>
    <row r="193" ht="15" customHeight="1">
      <c r="C193" s="73"/>
    </row>
    <row r="194" spans="1:11" ht="18" customHeight="1">
      <c r="A194" s="37"/>
      <c r="B194" s="42" t="str">
        <f>"Durchschnittliche Jahreskosten (Zeile "&amp;Finanzierung!A37&amp;"-"&amp;Finanzierung!A44&amp;")"</f>
        <v>Durchschnittliche Jahreskosten (Zeile 97-104)</v>
      </c>
      <c r="C194" s="4"/>
      <c r="K194" s="73"/>
    </row>
    <row r="195" spans="2:11" ht="9" customHeight="1">
      <c r="B195" s="39"/>
      <c r="C195" s="73"/>
      <c r="D195" s="4"/>
      <c r="K195" s="73"/>
    </row>
    <row r="196" spans="2:11" ht="15" customHeight="1">
      <c r="B196" s="72"/>
      <c r="C196" s="579" t="s">
        <v>328</v>
      </c>
      <c r="K196" s="73"/>
    </row>
    <row r="197" spans="3:11" ht="15" customHeight="1">
      <c r="C197" s="579" t="s">
        <v>329</v>
      </c>
      <c r="K197" s="73"/>
    </row>
    <row r="198" spans="2:11" ht="15" customHeight="1">
      <c r="B198" s="72"/>
      <c r="C198" s="579" t="s">
        <v>356</v>
      </c>
      <c r="K198" s="73"/>
    </row>
    <row r="199" spans="2:11" ht="15" customHeight="1">
      <c r="B199" s="72"/>
      <c r="C199" s="579" t="s">
        <v>330</v>
      </c>
      <c r="K199" s="73"/>
    </row>
    <row r="200" spans="2:11" ht="15" customHeight="1">
      <c r="B200" s="5"/>
      <c r="C200" s="579" t="s">
        <v>358</v>
      </c>
      <c r="K200" s="73"/>
    </row>
    <row r="201" spans="2:11" ht="15" customHeight="1">
      <c r="B201" s="5"/>
      <c r="C201" s="579" t="s">
        <v>359</v>
      </c>
      <c r="K201" s="73"/>
    </row>
    <row r="202" spans="2:3" ht="15" customHeight="1">
      <c r="B202" s="5"/>
      <c r="C202" s="579" t="s">
        <v>371</v>
      </c>
    </row>
    <row r="203" spans="2:3" ht="15" customHeight="1">
      <c r="B203" s="72"/>
      <c r="C203" s="579" t="s">
        <v>357</v>
      </c>
    </row>
    <row r="204" spans="2:3" ht="15" customHeight="1">
      <c r="B204" s="72"/>
      <c r="C204" s="579"/>
    </row>
    <row r="205" spans="1:3" ht="18" customHeight="1">
      <c r="A205" s="37"/>
      <c r="B205" s="40" t="str">
        <f>"Summe der Jahreskosten in % der baren Ausgaben (Zeile "&amp;Finanzierung!A45&amp;")"</f>
        <v>Summe der Jahreskosten in % der baren Ausgaben (Zeile 105)</v>
      </c>
      <c r="C205" s="71"/>
    </row>
    <row r="206" spans="2:4" ht="9" customHeight="1">
      <c r="B206" s="39"/>
      <c r="C206" s="73"/>
      <c r="D206" s="4"/>
    </row>
    <row r="207" spans="2:3" ht="15" customHeight="1">
      <c r="B207" s="72"/>
      <c r="C207" s="73" t="s">
        <v>395</v>
      </c>
    </row>
    <row r="208" ht="15" customHeight="1">
      <c r="C208" s="73"/>
    </row>
    <row r="209" spans="1:4" ht="18" customHeight="1">
      <c r="A209" s="37"/>
      <c r="B209" s="40" t="str">
        <f>"Kapitaldienst (Zeile "&amp;Finanzierung!A49&amp;"-"&amp;Finanzierung!A52&amp;")"</f>
        <v>Kapitaldienst (Zeile 106-109)</v>
      </c>
      <c r="C209" s="71"/>
      <c r="D209" s="4"/>
    </row>
    <row r="210" spans="2:4" ht="9" customHeight="1">
      <c r="B210" s="39"/>
      <c r="C210" s="73"/>
      <c r="D210" s="4"/>
    </row>
    <row r="211" spans="2:3" ht="15" customHeight="1">
      <c r="B211" s="72"/>
      <c r="C211" s="73" t="s">
        <v>585</v>
      </c>
    </row>
    <row r="212" ht="15" customHeight="1">
      <c r="C212" s="73"/>
    </row>
    <row r="213" ht="15" customHeight="1" thickBot="1"/>
    <row r="214" spans="1:11" ht="30" customHeight="1" thickBot="1">
      <c r="A214" s="37"/>
      <c r="B214" s="75" t="s">
        <v>62</v>
      </c>
      <c r="C214" s="90" t="s">
        <v>48</v>
      </c>
      <c r="D214" s="50"/>
      <c r="E214" s="49"/>
      <c r="F214" s="49"/>
      <c r="G214" s="49"/>
      <c r="H214" s="49"/>
      <c r="I214" s="49"/>
      <c r="J214" s="76"/>
      <c r="K214" s="92"/>
    </row>
    <row r="215" ht="15" customHeight="1"/>
    <row r="216" ht="18" customHeight="1">
      <c r="B216" s="42" t="str">
        <f>"Maßnahmenkosten (Zeile "&amp;Ergebnis!B7&amp;")"</f>
        <v>Maßnahmenkosten (Zeile 112)</v>
      </c>
    </row>
    <row r="217" ht="9" customHeight="1">
      <c r="B217" s="42"/>
    </row>
    <row r="218" spans="2:3" ht="15" customHeight="1">
      <c r="B218" s="72"/>
      <c r="C218" s="73" t="str">
        <f>"Diese Kosten ergeben sich aus Zeile "&amp;Ergebnis!B5&amp;" (Jahreskosten der Baumaßnahme) und Zeile "&amp;Betriebsdaten!B53&amp;" (DB-Einbußen)."</f>
        <v>Diese Kosten ergeben sich aus Zeile 111 (Jahreskosten der Baumaßnahme) und Zeile 11 (DB-Einbußen).</v>
      </c>
    </row>
    <row r="219" ht="15" customHeight="1">
      <c r="C219" s="73"/>
    </row>
    <row r="220" spans="1:3" ht="18" customHeight="1">
      <c r="A220" s="37"/>
      <c r="B220" s="42" t="str">
        <f>"Grundfutterkosten/Kuh und Kosten der Quote/Kuh (Zeile "&amp;Ergebnis!B18&amp;" bzw. "&amp;Ergebnis!B19&amp;")"</f>
        <v>Grundfutterkosten/Kuh und Kosten der Quote/Kuh (Zeile 115 bzw. 116)</v>
      </c>
      <c r="C220" s="71"/>
    </row>
    <row r="221" spans="2:4" ht="9" customHeight="1">
      <c r="B221" s="39"/>
      <c r="C221" s="73"/>
      <c r="D221" s="4"/>
    </row>
    <row r="222" spans="2:5" ht="15" customHeight="1">
      <c r="B222" s="72"/>
      <c r="C222" s="74" t="s">
        <v>337</v>
      </c>
      <c r="D222" s="51"/>
      <c r="E222" s="51"/>
    </row>
    <row r="223" ht="15" customHeight="1">
      <c r="C223" s="73"/>
    </row>
    <row r="224" spans="1:3" ht="18" customHeight="1">
      <c r="A224" s="37"/>
      <c r="B224" s="40" t="str">
        <f>"Betrag zur Abdeckung der Maßnahmenkosten (Zeile "&amp;Ergebnis!B22&amp;" bzw. "&amp;Ergebnis!B29&amp;")"</f>
        <v>Betrag zur Abdeckung der Maßnahmenkosten (Zeile 117 bzw. 120)</v>
      </c>
      <c r="C224" s="71"/>
    </row>
    <row r="225" spans="2:4" ht="9" customHeight="1">
      <c r="B225" s="39"/>
      <c r="C225" s="73"/>
      <c r="D225" s="4"/>
    </row>
    <row r="226" spans="2:3" ht="15" customHeight="1">
      <c r="B226" s="72"/>
      <c r="C226" s="73" t="s">
        <v>49</v>
      </c>
    </row>
    <row r="227" ht="15" customHeight="1">
      <c r="C227" s="73"/>
    </row>
    <row r="228" spans="1:3" ht="18" customHeight="1">
      <c r="A228" s="37"/>
      <c r="B228" s="42" t="s">
        <v>50</v>
      </c>
      <c r="C228" s="71"/>
    </row>
    <row r="229" spans="1:11" ht="18" customHeight="1">
      <c r="A229" s="37"/>
      <c r="B229" s="42" t="str">
        <f>"(Zeile "&amp;Ergebnis!B45&amp;"); Beispiel siehe Plan 1."</f>
        <v>(Zeile 124); Beispiel siehe Plan 1.</v>
      </c>
      <c r="C229" s="71"/>
      <c r="E229" s="579"/>
      <c r="H229" s="529"/>
      <c r="I229" s="71"/>
      <c r="K229" s="73"/>
    </row>
    <row r="230" spans="2:11" ht="9" customHeight="1">
      <c r="B230" s="39"/>
      <c r="C230" s="73"/>
      <c r="D230" s="4"/>
      <c r="E230" s="579"/>
      <c r="K230" s="73" t="s">
        <v>51</v>
      </c>
    </row>
    <row r="231" spans="2:10" ht="15" customHeight="1">
      <c r="B231" s="72"/>
      <c r="C231" s="553" t="s">
        <v>339</v>
      </c>
      <c r="H231" s="7" t="str">
        <f>"Zeile "&amp;Ergebnis!B7</f>
        <v>Zeile 112</v>
      </c>
      <c r="I231" s="555">
        <f>Ergebnis!J8</f>
        <v>0</v>
      </c>
      <c r="J231" s="553" t="s">
        <v>0</v>
      </c>
    </row>
    <row r="232" spans="2:10" ht="15" customHeight="1">
      <c r="B232" s="558" t="s">
        <v>53</v>
      </c>
      <c r="C232" s="559" t="s">
        <v>340</v>
      </c>
      <c r="D232" s="560"/>
      <c r="E232" s="560"/>
      <c r="F232" s="560"/>
      <c r="G232" s="560"/>
      <c r="H232" s="540" t="str">
        <f>"Zeile "&amp;Ergebnis!B33</f>
        <v>Zeile 121</v>
      </c>
      <c r="I232" s="561">
        <f>Ergebnis!J33</f>
        <v>0</v>
      </c>
      <c r="J232" s="559" t="s">
        <v>0</v>
      </c>
    </row>
    <row r="233" spans="2:10" ht="15" customHeight="1">
      <c r="B233" s="554" t="s">
        <v>56</v>
      </c>
      <c r="C233" s="7" t="s">
        <v>393</v>
      </c>
      <c r="H233" s="7"/>
      <c r="I233" s="555">
        <f>I231-I232</f>
        <v>0</v>
      </c>
      <c r="J233" s="553" t="s">
        <v>0</v>
      </c>
    </row>
    <row r="234" spans="2:10" ht="15" customHeight="1">
      <c r="B234" s="558" t="s">
        <v>54</v>
      </c>
      <c r="C234" s="540" t="s">
        <v>341</v>
      </c>
      <c r="D234" s="560"/>
      <c r="E234" s="560"/>
      <c r="F234" s="562"/>
      <c r="G234" s="563"/>
      <c r="H234" s="559" t="str">
        <f>"Zeile "&amp;Ergebnis!B40</f>
        <v>Zeile 123</v>
      </c>
      <c r="I234" s="564">
        <f>Ergebnis!J40/100</f>
        <v>0</v>
      </c>
      <c r="J234" s="565" t="s">
        <v>227</v>
      </c>
    </row>
    <row r="235" spans="2:10" ht="15" customHeight="1">
      <c r="B235" s="554" t="s">
        <v>56</v>
      </c>
      <c r="C235" s="7" t="s">
        <v>360</v>
      </c>
      <c r="H235" s="7"/>
      <c r="I235" s="556">
        <f>IF(I234=0,0,I233/I234)</f>
        <v>0</v>
      </c>
      <c r="J235" s="557" t="s">
        <v>52</v>
      </c>
    </row>
    <row r="236" spans="2:10" ht="15" customHeight="1">
      <c r="B236" s="22" t="s">
        <v>54</v>
      </c>
      <c r="C236" s="20" t="s">
        <v>342</v>
      </c>
      <c r="D236" s="62"/>
      <c r="E236" s="62"/>
      <c r="F236" s="62"/>
      <c r="G236" s="62"/>
      <c r="H236" s="47" t="str">
        <f>"Zeile "&amp;Betriebsdaten!B13</f>
        <v>Zeile 2</v>
      </c>
      <c r="I236" s="20">
        <f>Betriebsdaten!M13</f>
        <v>0</v>
      </c>
      <c r="J236" s="20" t="s">
        <v>55</v>
      </c>
    </row>
    <row r="237" spans="2:10" ht="27" customHeight="1">
      <c r="B237" s="566" t="s">
        <v>56</v>
      </c>
      <c r="C237" s="1170" t="s">
        <v>363</v>
      </c>
      <c r="D237" s="1170"/>
      <c r="E237" s="1170"/>
      <c r="F237" s="1170"/>
      <c r="G237" s="1170"/>
      <c r="H237" s="569" t="str">
        <f>"Zeile "&amp;Ergebnis!B45</f>
        <v>Zeile 124</v>
      </c>
      <c r="I237" s="572">
        <f>IF(I236=0,0,I235/I236)</f>
        <v>0</v>
      </c>
      <c r="J237" s="243" t="s">
        <v>57</v>
      </c>
    </row>
    <row r="238" spans="2:10" ht="27" customHeight="1">
      <c r="B238" s="22"/>
      <c r="C238" s="570"/>
      <c r="D238" s="570"/>
      <c r="E238" s="570"/>
      <c r="F238" s="570"/>
      <c r="G238" s="570"/>
      <c r="H238" s="571"/>
      <c r="I238" s="530"/>
      <c r="J238" s="432"/>
    </row>
    <row r="239" spans="1:3" ht="18" customHeight="1">
      <c r="A239" s="37"/>
      <c r="B239" s="42" t="s">
        <v>58</v>
      </c>
      <c r="C239" s="4"/>
    </row>
    <row r="240" spans="2:3" ht="18" customHeight="1">
      <c r="B240" s="42" t="str">
        <f>"veränderten Arbeitszeitbedarfs (Zeile "&amp;Ergebnis!B48&amp;"); Beispiel siehe Plan 1."</f>
        <v>veränderten Arbeitszeitbedarfs (Zeile 125); Beispiel siehe Plan 1.</v>
      </c>
      <c r="C240" s="4"/>
    </row>
    <row r="241" spans="2:11" ht="9" customHeight="1">
      <c r="B241" s="39"/>
      <c r="D241" s="4"/>
      <c r="K241" s="73" t="s">
        <v>59</v>
      </c>
    </row>
    <row r="242" spans="2:11" ht="15" customHeight="1">
      <c r="B242" s="72"/>
      <c r="C242" s="553" t="s">
        <v>339</v>
      </c>
      <c r="H242" s="7" t="str">
        <f>"Zeile "&amp;Ergebnis!B7</f>
        <v>Zeile 112</v>
      </c>
      <c r="I242" s="555">
        <f>Ergebnis!J8</f>
        <v>0</v>
      </c>
      <c r="J242" s="553" t="s">
        <v>0</v>
      </c>
      <c r="K242" s="73" t="s">
        <v>51</v>
      </c>
    </row>
    <row r="243" spans="2:11" ht="15" customHeight="1">
      <c r="B243" s="22" t="s">
        <v>53</v>
      </c>
      <c r="C243" s="47" t="s">
        <v>340</v>
      </c>
      <c r="D243" s="62"/>
      <c r="E243" s="62"/>
      <c r="F243" s="62"/>
      <c r="G243" s="62"/>
      <c r="H243" s="7" t="str">
        <f>"Zeile "&amp;Ergebnis!B33</f>
        <v>Zeile 121</v>
      </c>
      <c r="I243" s="567">
        <f>Ergebnis!J33</f>
        <v>0</v>
      </c>
      <c r="J243" s="47" t="s">
        <v>0</v>
      </c>
      <c r="K243" s="73" t="s">
        <v>51</v>
      </c>
    </row>
    <row r="244" spans="2:11" ht="15" customHeight="1">
      <c r="B244" s="558" t="s">
        <v>60</v>
      </c>
      <c r="C244" s="559" t="s">
        <v>343</v>
      </c>
      <c r="D244" s="560"/>
      <c r="E244" s="560"/>
      <c r="F244" s="560"/>
      <c r="G244" s="560"/>
      <c r="H244" s="540" t="str">
        <f>"(Zeile "&amp;Betriebsdaten!B47&amp;" x Zeile "&amp;Betriebsdaten!B51&amp;")"</f>
        <v>(Zeile 9 x Zeile 10)</v>
      </c>
      <c r="I244" s="561">
        <f>Betriebsdaten!E47*Betriebsdaten!L51</f>
        <v>0</v>
      </c>
      <c r="J244" s="559" t="s">
        <v>0</v>
      </c>
      <c r="K244" s="73"/>
    </row>
    <row r="245" spans="2:10" ht="15" customHeight="1">
      <c r="B245" s="554" t="s">
        <v>56</v>
      </c>
      <c r="C245" s="7" t="s">
        <v>252</v>
      </c>
      <c r="H245" s="7"/>
      <c r="I245" s="555">
        <f>I242-I243+I244</f>
        <v>0</v>
      </c>
      <c r="J245" s="553" t="s">
        <v>0</v>
      </c>
    </row>
    <row r="246" spans="2:10" ht="15" customHeight="1">
      <c r="B246" s="558" t="s">
        <v>54</v>
      </c>
      <c r="C246" s="540" t="s">
        <v>341</v>
      </c>
      <c r="D246" s="568"/>
      <c r="E246" s="560"/>
      <c r="F246" s="560"/>
      <c r="G246" s="560"/>
      <c r="H246" s="559" t="str">
        <f>"Zeile "&amp;Ergebnis!B40</f>
        <v>Zeile 123</v>
      </c>
      <c r="I246" s="564">
        <f>Ergebnis!J40/100</f>
        <v>0</v>
      </c>
      <c r="J246" s="565" t="s">
        <v>227</v>
      </c>
    </row>
    <row r="247" spans="2:10" ht="15" customHeight="1">
      <c r="B247" s="554" t="s">
        <v>56</v>
      </c>
      <c r="C247" s="7" t="s">
        <v>360</v>
      </c>
      <c r="H247" s="7"/>
      <c r="I247" s="556">
        <f>IF(I246=0,0,I245/I246)</f>
        <v>0</v>
      </c>
      <c r="J247" s="557" t="s">
        <v>52</v>
      </c>
    </row>
    <row r="248" spans="2:10" ht="15" customHeight="1">
      <c r="B248" s="22" t="s">
        <v>54</v>
      </c>
      <c r="C248" s="20" t="s">
        <v>342</v>
      </c>
      <c r="H248" s="47" t="str">
        <f>"Zeile "&amp;Betriebsdaten!B13</f>
        <v>Zeile 2</v>
      </c>
      <c r="I248" s="20">
        <f>Betriebsdaten!M13</f>
        <v>0</v>
      </c>
      <c r="J248" s="20" t="s">
        <v>55</v>
      </c>
    </row>
    <row r="249" spans="2:10" ht="36" customHeight="1">
      <c r="B249" s="566" t="s">
        <v>56</v>
      </c>
      <c r="C249" s="1170" t="s">
        <v>375</v>
      </c>
      <c r="D249" s="1170"/>
      <c r="E249" s="1170"/>
      <c r="F249" s="1170"/>
      <c r="G249" s="1170"/>
      <c r="H249" s="569" t="str">
        <f>"Zeile "&amp;Ergebnis!B48</f>
        <v>Zeile 125</v>
      </c>
      <c r="I249" s="572">
        <f>IF(I248=0,0,I247/I248)</f>
        <v>0</v>
      </c>
      <c r="J249" s="243" t="s">
        <v>57</v>
      </c>
    </row>
    <row r="250" spans="2:10" ht="27" customHeight="1">
      <c r="B250" s="22"/>
      <c r="C250" s="570"/>
      <c r="D250" s="570"/>
      <c r="E250" s="570"/>
      <c r="F250" s="570"/>
      <c r="G250" s="570"/>
      <c r="H250" s="571"/>
      <c r="I250" s="530"/>
      <c r="J250" s="432"/>
    </row>
    <row r="251" spans="1:3" ht="18" customHeight="1">
      <c r="A251" s="37"/>
      <c r="B251" s="40" t="s">
        <v>61</v>
      </c>
      <c r="C251" s="4"/>
    </row>
    <row r="252" spans="2:3" ht="18" customHeight="1">
      <c r="B252" s="40" t="str">
        <f>"angestrebten Erhöhung des Einkommens aus Landwirtschaft (Zeile "&amp;Ergebnis!B51&amp;")"</f>
        <v>angestrebten Erhöhung des Einkommens aus Landwirtschaft (Zeile 126)</v>
      </c>
      <c r="C252" s="4"/>
    </row>
    <row r="253" spans="2:4" ht="9" customHeight="1">
      <c r="B253" s="39"/>
      <c r="D253" s="4"/>
    </row>
    <row r="254" spans="2:10" ht="15" customHeight="1">
      <c r="B254" s="72"/>
      <c r="C254" s="553" t="s">
        <v>339</v>
      </c>
      <c r="H254" s="7" t="str">
        <f>"Zeile "&amp;Ergebnis!B7</f>
        <v>Zeile 112</v>
      </c>
      <c r="I254" s="555">
        <f>Ergebnis!J8</f>
        <v>0</v>
      </c>
      <c r="J254" s="553" t="s">
        <v>0</v>
      </c>
    </row>
    <row r="255" spans="2:10" ht="15" customHeight="1">
      <c r="B255" s="22" t="s">
        <v>53</v>
      </c>
      <c r="C255" s="47" t="s">
        <v>340</v>
      </c>
      <c r="D255" s="62"/>
      <c r="E255" s="62"/>
      <c r="F255" s="62"/>
      <c r="G255" s="62"/>
      <c r="H255" s="7" t="str">
        <f>"Zeile "&amp;Ergebnis!B33</f>
        <v>Zeile 121</v>
      </c>
      <c r="I255" s="567">
        <f>Ergebnis!J33</f>
        <v>0</v>
      </c>
      <c r="J255" s="47" t="s">
        <v>0</v>
      </c>
    </row>
    <row r="256" spans="2:10" ht="15" customHeight="1">
      <c r="B256" s="558" t="s">
        <v>60</v>
      </c>
      <c r="C256" s="559" t="s">
        <v>344</v>
      </c>
      <c r="D256" s="560"/>
      <c r="E256" s="560"/>
      <c r="F256" s="560"/>
      <c r="G256" s="560"/>
      <c r="H256" s="540" t="str">
        <f>"Zeile "&amp;Betriebsdaten!B55</f>
        <v>Zeile 12</v>
      </c>
      <c r="I256" s="561">
        <f>Betriebsdaten!L55</f>
        <v>0</v>
      </c>
      <c r="J256" s="559" t="s">
        <v>0</v>
      </c>
    </row>
    <row r="257" spans="2:10" ht="15" customHeight="1">
      <c r="B257" s="554" t="s">
        <v>56</v>
      </c>
      <c r="C257" s="7" t="s">
        <v>252</v>
      </c>
      <c r="H257" s="7"/>
      <c r="I257" s="555">
        <f>I254-I255+I256</f>
        <v>0</v>
      </c>
      <c r="J257" s="553" t="s">
        <v>0</v>
      </c>
    </row>
    <row r="258" spans="2:10" ht="15" customHeight="1">
      <c r="B258" s="558" t="s">
        <v>54</v>
      </c>
      <c r="C258" s="540" t="s">
        <v>341</v>
      </c>
      <c r="D258" s="568"/>
      <c r="E258" s="560"/>
      <c r="F258" s="560"/>
      <c r="G258" s="560"/>
      <c r="H258" s="559" t="str">
        <f>"Zeile "&amp;Ergebnis!B40</f>
        <v>Zeile 123</v>
      </c>
      <c r="I258" s="564">
        <f>Ergebnis!J40/100</f>
        <v>0</v>
      </c>
      <c r="J258" s="565" t="s">
        <v>227</v>
      </c>
    </row>
    <row r="259" spans="2:10" ht="15" customHeight="1">
      <c r="B259" s="554" t="s">
        <v>56</v>
      </c>
      <c r="C259" s="7" t="s">
        <v>360</v>
      </c>
      <c r="H259" s="7"/>
      <c r="I259" s="556">
        <f>IF(I258=0,0,I257/I258)</f>
        <v>0</v>
      </c>
      <c r="J259" s="557" t="s">
        <v>52</v>
      </c>
    </row>
    <row r="260" spans="2:10" ht="15" customHeight="1">
      <c r="B260" s="22" t="s">
        <v>54</v>
      </c>
      <c r="C260" s="20" t="s">
        <v>342</v>
      </c>
      <c r="H260" s="47" t="str">
        <f>"Zeile "&amp;Betriebsdaten!B13</f>
        <v>Zeile 2</v>
      </c>
      <c r="I260" s="20">
        <f>Betriebsdaten!M13</f>
        <v>0</v>
      </c>
      <c r="J260" s="20" t="s">
        <v>55</v>
      </c>
    </row>
    <row r="261" spans="2:10" ht="36.75" customHeight="1">
      <c r="B261" s="566" t="s">
        <v>56</v>
      </c>
      <c r="C261" s="1170" t="s">
        <v>361</v>
      </c>
      <c r="D261" s="1170"/>
      <c r="E261" s="1170"/>
      <c r="F261" s="1170"/>
      <c r="G261" s="1170"/>
      <c r="H261" s="569" t="str">
        <f>"Zeile "&amp;Ergebnis!B51</f>
        <v>Zeile 126</v>
      </c>
      <c r="I261" s="572">
        <f>IF(I260=0,0,I259/I260)</f>
        <v>0</v>
      </c>
      <c r="J261" s="243" t="s">
        <v>57</v>
      </c>
    </row>
    <row r="262" spans="2:4" ht="15" customHeight="1">
      <c r="B262" s="39"/>
      <c r="D262" s="4"/>
    </row>
    <row r="263" spans="2:11" ht="15" customHeight="1">
      <c r="B263" s="72"/>
      <c r="C263" s="579" t="s">
        <v>1</v>
      </c>
      <c r="K263" s="73"/>
    </row>
    <row r="264" spans="3:11" ht="15" customHeight="1">
      <c r="C264" s="579" t="s">
        <v>2</v>
      </c>
      <c r="K264" s="41"/>
    </row>
    <row r="265" ht="15" customHeight="1" thickBot="1"/>
    <row r="266" spans="1:11" ht="30" customHeight="1" thickBot="1">
      <c r="A266" s="37"/>
      <c r="B266" s="75" t="s">
        <v>338</v>
      </c>
      <c r="C266" s="90" t="s">
        <v>63</v>
      </c>
      <c r="D266" s="50"/>
      <c r="E266" s="49"/>
      <c r="F266" s="49"/>
      <c r="G266" s="49"/>
      <c r="H266" s="49"/>
      <c r="I266" s="49"/>
      <c r="J266" s="76"/>
      <c r="K266" s="92"/>
    </row>
    <row r="267" ht="15" customHeight="1">
      <c r="C267" s="4"/>
    </row>
    <row r="268" spans="2:12" ht="15" customHeight="1">
      <c r="B268" s="72"/>
      <c r="C268" s="579" t="s">
        <v>3</v>
      </c>
      <c r="L268" s="73"/>
    </row>
    <row r="269" spans="3:12" ht="15" customHeight="1">
      <c r="C269" s="579" t="s">
        <v>4</v>
      </c>
      <c r="L269" s="73"/>
    </row>
    <row r="270" spans="3:12" ht="15" customHeight="1">
      <c r="C270" s="579" t="s">
        <v>372</v>
      </c>
      <c r="L270" s="73"/>
    </row>
    <row r="271" ht="15" customHeight="1">
      <c r="C271" s="582" t="s">
        <v>373</v>
      </c>
    </row>
    <row r="272" ht="15" customHeight="1">
      <c r="C272" s="579"/>
    </row>
    <row r="273" spans="2:3" ht="15" customHeight="1">
      <c r="B273" s="72"/>
      <c r="C273" s="73" t="s">
        <v>335</v>
      </c>
    </row>
    <row r="274" ht="15" customHeight="1">
      <c r="C274" s="73"/>
    </row>
    <row r="275" spans="3:12" ht="15" customHeight="1">
      <c r="C275" s="95"/>
      <c r="D275" s="62"/>
      <c r="E275" s="62"/>
      <c r="F275" s="62"/>
      <c r="G275" s="62"/>
      <c r="H275" s="62"/>
      <c r="I275" s="62"/>
      <c r="J275" s="29"/>
      <c r="L275" s="24" t="s">
        <v>64</v>
      </c>
    </row>
    <row r="276" spans="3:12" ht="15" customHeight="1">
      <c r="C276" s="581"/>
      <c r="D276" s="3"/>
      <c r="E276" s="3"/>
      <c r="F276" s="3"/>
      <c r="G276" s="3"/>
      <c r="H276" s="3"/>
      <c r="I276" s="3"/>
      <c r="J276" s="3"/>
      <c r="L276" s="24" t="s">
        <v>64</v>
      </c>
    </row>
    <row r="277" spans="3:10" ht="15" customHeight="1">
      <c r="C277" s="581"/>
      <c r="D277" s="3"/>
      <c r="E277" s="3"/>
      <c r="F277" s="3"/>
      <c r="G277" s="3"/>
      <c r="H277" s="3"/>
      <c r="I277" s="3"/>
      <c r="J277" s="3"/>
    </row>
    <row r="278" spans="3:10" ht="15" customHeight="1">
      <c r="C278" s="95"/>
      <c r="D278" s="62"/>
      <c r="E278" s="62"/>
      <c r="F278" s="62"/>
      <c r="G278" s="62"/>
      <c r="H278" s="62"/>
      <c r="I278" s="62"/>
      <c r="J278" s="29"/>
    </row>
    <row r="279" ht="15" customHeight="1">
      <c r="C279" s="73"/>
    </row>
    <row r="280" spans="2:11" ht="15" customHeight="1">
      <c r="B280" s="72"/>
      <c r="C280" s="579" t="s">
        <v>5</v>
      </c>
      <c r="K280" s="73"/>
    </row>
    <row r="281" spans="2:11" ht="15" customHeight="1">
      <c r="B281" s="72"/>
      <c r="C281" s="579" t="s">
        <v>6</v>
      </c>
      <c r="K281" s="73"/>
    </row>
    <row r="282" ht="15" customHeight="1">
      <c r="C282" s="73"/>
    </row>
    <row r="283" spans="2:12" ht="15" customHeight="1">
      <c r="B283" s="72"/>
      <c r="C283" s="579" t="s">
        <v>7</v>
      </c>
      <c r="L283" s="73"/>
    </row>
    <row r="284" spans="3:12" ht="15" customHeight="1">
      <c r="C284" s="579" t="s">
        <v>8</v>
      </c>
      <c r="L284" s="73"/>
    </row>
    <row r="285" ht="15" customHeight="1">
      <c r="C285" s="73"/>
    </row>
    <row r="286" spans="1:11" ht="15" customHeight="1">
      <c r="A286" s="37"/>
      <c r="C286" s="72"/>
      <c r="D286" s="616" t="s">
        <v>9</v>
      </c>
      <c r="E286" s="617"/>
      <c r="F286" s="617"/>
      <c r="G286" s="617"/>
      <c r="H286" s="617"/>
      <c r="I286" s="617"/>
      <c r="J286" s="618"/>
      <c r="K286" s="73"/>
    </row>
    <row r="287" spans="3:11" ht="15" customHeight="1">
      <c r="C287" s="73"/>
      <c r="D287" s="619" t="s">
        <v>10</v>
      </c>
      <c r="E287" s="620"/>
      <c r="F287" s="620"/>
      <c r="G287" s="620"/>
      <c r="H287" s="620"/>
      <c r="I287" s="620"/>
      <c r="J287" s="621"/>
      <c r="K287" s="71"/>
    </row>
    <row r="288" spans="4:11" ht="15" customHeight="1">
      <c r="D288" s="622" t="s">
        <v>362</v>
      </c>
      <c r="E288" s="620"/>
      <c r="F288" s="620"/>
      <c r="G288" s="620"/>
      <c r="H288" s="620"/>
      <c r="I288" s="620"/>
      <c r="J288" s="621"/>
      <c r="K288" s="71"/>
    </row>
    <row r="289" spans="4:11" ht="15" customHeight="1">
      <c r="D289" s="619" t="s">
        <v>11</v>
      </c>
      <c r="E289" s="620"/>
      <c r="F289" s="620"/>
      <c r="G289" s="620"/>
      <c r="H289" s="620"/>
      <c r="I289" s="620"/>
      <c r="J289" s="621"/>
      <c r="K289" s="71"/>
    </row>
    <row r="290" spans="4:11" ht="15" customHeight="1">
      <c r="D290" s="623" t="s">
        <v>12</v>
      </c>
      <c r="E290" s="624"/>
      <c r="F290" s="624"/>
      <c r="G290" s="624"/>
      <c r="H290" s="624"/>
      <c r="I290" s="624"/>
      <c r="J290" s="625"/>
      <c r="K290" s="71"/>
    </row>
    <row r="291" ht="15" customHeight="1">
      <c r="D291" s="71"/>
    </row>
    <row r="292" ht="15" customHeight="1">
      <c r="J292" s="63"/>
    </row>
    <row r="293" ht="15" customHeight="1"/>
    <row r="294" spans="2:3" ht="15" customHeight="1">
      <c r="B294" s="4"/>
      <c r="C294" s="4"/>
    </row>
    <row r="295" spans="2:3" ht="15" customHeight="1">
      <c r="B295" s="4"/>
      <c r="C295" s="4"/>
    </row>
    <row r="296" ht="15" customHeight="1"/>
    <row r="297" spans="2:3" ht="15" customHeight="1">
      <c r="B297" s="4"/>
      <c r="C297" s="4"/>
    </row>
    <row r="298" spans="2:3" ht="15" customHeight="1">
      <c r="B298" s="4"/>
      <c r="C298" s="4"/>
    </row>
    <row r="299" spans="2:3" ht="15" customHeight="1">
      <c r="B299" s="4"/>
      <c r="C299" s="4"/>
    </row>
    <row r="300" spans="2:3" ht="15" customHeight="1">
      <c r="B300" s="4"/>
      <c r="C300" s="4"/>
    </row>
    <row r="301" spans="2:3" ht="15" customHeight="1">
      <c r="B301" s="4"/>
      <c r="C301" s="4"/>
    </row>
    <row r="302" spans="2:3" ht="15" customHeight="1">
      <c r="B302" s="4"/>
      <c r="C302" s="4"/>
    </row>
    <row r="303" spans="2:3" ht="15" customHeight="1">
      <c r="B303" s="4"/>
      <c r="C303" s="4"/>
    </row>
    <row r="304" spans="2:3" ht="15" customHeight="1">
      <c r="B304" s="4"/>
      <c r="C304" s="4"/>
    </row>
    <row r="305" spans="2:3" ht="15" customHeight="1">
      <c r="B305" s="4"/>
      <c r="C305" s="4"/>
    </row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sheetProtection password="9339" sheet="1" objects="1" scenarios="1"/>
  <mergeCells count="8">
    <mergeCell ref="H36:H37"/>
    <mergeCell ref="C249:G249"/>
    <mergeCell ref="C237:G237"/>
    <mergeCell ref="C261:G261"/>
    <mergeCell ref="B36:C37"/>
    <mergeCell ref="F39:F40"/>
    <mergeCell ref="G39:G40"/>
    <mergeCell ref="B55:H55"/>
  </mergeCells>
  <printOptions horizontalCentered="1"/>
  <pageMargins left="0.5905511811023623" right="0.5905511811023623" top="0.5905511811023623" bottom="0.5905511811023623" header="0.1968503937007874" footer="0.1968503937007874"/>
  <pageSetup fitToHeight="6" horizontalDpi="300" verticalDpi="300" orientation="portrait" paperSize="9" scale="87" r:id="rId2"/>
  <headerFooter alignWithMargins="0">
    <oddFooter>&amp;L&amp;8LEL Schwäbisch Gmünd 
Abt. 2&amp;C&amp;8&amp;F
&amp;A&amp;R&amp;8&amp;D
&amp;"Arial,Fett"&amp;12Seite &amp;P</oddFooter>
  </headerFooter>
  <rowBreaks count="2" manualBreakCount="2">
    <brk id="157" max="255" man="1"/>
    <brk id="26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U62"/>
  <sheetViews>
    <sheetView showGridLines="0" showZeros="0" workbookViewId="0" topLeftCell="A1">
      <pane ySplit="1" topLeftCell="BM2" activePane="bottomLeft" state="frozen"/>
      <selection pane="topLeft" activeCell="F72" sqref="F72"/>
      <selection pane="bottomLeft" activeCell="F72" sqref="F72"/>
    </sheetView>
  </sheetViews>
  <sheetFormatPr defaultColWidth="11.421875" defaultRowHeight="12.75"/>
  <cols>
    <col min="1" max="1" width="1.7109375" style="126" customWidth="1"/>
    <col min="2" max="2" width="3.57421875" style="127" customWidth="1"/>
    <col min="3" max="3" width="2.7109375" style="126" customWidth="1"/>
    <col min="4" max="4" width="11.28125" style="126" bestFit="1" customWidth="1"/>
    <col min="5" max="7" width="9.28125" style="126" customWidth="1"/>
    <col min="8" max="8" width="9.28125" style="127" customWidth="1"/>
    <col min="9" max="9" width="9.28125" style="126" customWidth="1"/>
    <col min="10" max="10" width="9.28125" style="127" customWidth="1"/>
    <col min="11" max="12" width="9.28125" style="126" customWidth="1"/>
    <col min="13" max="13" width="9.28125" style="127" customWidth="1"/>
    <col min="14" max="14" width="3.7109375" style="126" customWidth="1"/>
    <col min="15" max="15" width="11.7109375" style="126" customWidth="1"/>
    <col min="16" max="17" width="11.7109375" style="126" hidden="1" customWidth="1"/>
    <col min="18" max="16384" width="11.57421875" style="126" customWidth="1"/>
  </cols>
  <sheetData>
    <row r="1" spans="2:14" ht="36" customHeight="1">
      <c r="B1" s="615" t="s">
        <v>22</v>
      </c>
      <c r="D1" s="128"/>
      <c r="E1" s="128"/>
      <c r="F1" s="128"/>
      <c r="G1" s="128"/>
      <c r="H1" s="128"/>
      <c r="I1" s="128"/>
      <c r="J1" s="128"/>
      <c r="K1" s="129"/>
      <c r="L1" s="128"/>
      <c r="M1" s="128"/>
      <c r="N1" s="128"/>
    </row>
    <row r="2" spans="2:16" ht="18" customHeight="1">
      <c r="B2" s="130" t="s">
        <v>65</v>
      </c>
      <c r="C2" s="131"/>
      <c r="D2" s="131"/>
      <c r="E2" s="1181"/>
      <c r="F2" s="1181"/>
      <c r="G2" s="1181"/>
      <c r="H2" s="1181"/>
      <c r="I2" s="132"/>
      <c r="J2" s="132"/>
      <c r="K2" s="132"/>
      <c r="L2" s="133" t="s">
        <v>66</v>
      </c>
      <c r="M2" s="1182"/>
      <c r="N2" s="1182"/>
      <c r="P2" s="492">
        <v>0</v>
      </c>
    </row>
    <row r="3" spans="4:16" ht="6.75" customHeight="1">
      <c r="D3" s="23"/>
      <c r="E3" s="23"/>
      <c r="F3" s="23"/>
      <c r="G3" s="23"/>
      <c r="H3" s="134"/>
      <c r="I3" s="23"/>
      <c r="J3" s="134"/>
      <c r="K3" s="23"/>
      <c r="L3" s="23"/>
      <c r="M3" s="134"/>
      <c r="N3" s="23"/>
      <c r="P3" s="493">
        <v>1</v>
      </c>
    </row>
    <row r="4" spans="2:16" ht="18" customHeight="1">
      <c r="B4" s="23" t="s">
        <v>67</v>
      </c>
      <c r="C4" s="131"/>
      <c r="D4" s="131"/>
      <c r="E4" s="1181"/>
      <c r="F4" s="1181"/>
      <c r="G4" s="1181"/>
      <c r="H4" s="1181"/>
      <c r="I4" s="130"/>
      <c r="J4" s="25"/>
      <c r="K4" s="26"/>
      <c r="L4" s="133" t="s">
        <v>68</v>
      </c>
      <c r="M4" s="1183"/>
      <c r="N4" s="1183"/>
      <c r="P4" s="493">
        <v>2</v>
      </c>
    </row>
    <row r="5" spans="4:16" ht="6.75" customHeight="1">
      <c r="D5" s="23"/>
      <c r="E5" s="23"/>
      <c r="F5" s="23"/>
      <c r="G5" s="23"/>
      <c r="H5" s="134"/>
      <c r="I5" s="23"/>
      <c r="J5" s="134"/>
      <c r="K5" s="23"/>
      <c r="L5" s="23"/>
      <c r="M5" s="134"/>
      <c r="N5" s="23"/>
      <c r="P5" s="493">
        <v>3</v>
      </c>
    </row>
    <row r="6" spans="2:16" ht="18" customHeight="1">
      <c r="B6" s="135" t="s">
        <v>69</v>
      </c>
      <c r="C6" s="131"/>
      <c r="D6" s="131"/>
      <c r="E6" s="584">
        <v>1</v>
      </c>
      <c r="F6" s="136"/>
      <c r="G6" s="1181"/>
      <c r="H6" s="1181"/>
      <c r="I6" s="1181"/>
      <c r="J6" s="1181"/>
      <c r="K6" s="1181"/>
      <c r="L6" s="1181"/>
      <c r="M6" s="1181"/>
      <c r="N6" s="1181"/>
      <c r="P6" s="494">
        <v>4</v>
      </c>
    </row>
    <row r="7" spans="4:16" ht="36" customHeight="1" thickBot="1">
      <c r="D7" s="128"/>
      <c r="E7" s="128"/>
      <c r="F7" s="128"/>
      <c r="G7" s="128"/>
      <c r="H7" s="128"/>
      <c r="I7" s="128"/>
      <c r="J7" s="128"/>
      <c r="K7" s="129"/>
      <c r="L7" s="128"/>
      <c r="M7" s="128"/>
      <c r="N7" s="128"/>
      <c r="P7" s="495"/>
    </row>
    <row r="8" spans="2:14" ht="6.75" customHeight="1">
      <c r="B8" s="139"/>
      <c r="C8" s="140"/>
      <c r="D8" s="141"/>
      <c r="E8" s="141"/>
      <c r="F8" s="142"/>
      <c r="G8" s="142"/>
      <c r="H8" s="143"/>
      <c r="I8" s="142"/>
      <c r="J8" s="142"/>
      <c r="K8" s="144"/>
      <c r="L8" s="145"/>
      <c r="M8" s="143"/>
      <c r="N8" s="146"/>
    </row>
    <row r="9" spans="1:14" ht="18" customHeight="1">
      <c r="A9" s="147"/>
      <c r="B9" s="913"/>
      <c r="C9" s="509" t="s">
        <v>397</v>
      </c>
      <c r="D9" s="23"/>
      <c r="E9" s="23"/>
      <c r="F9" s="149"/>
      <c r="G9" s="149"/>
      <c r="H9" s="150"/>
      <c r="I9" s="149"/>
      <c r="J9" s="149"/>
      <c r="K9" s="151"/>
      <c r="L9" s="152"/>
      <c r="M9" s="150"/>
      <c r="N9" s="153"/>
    </row>
    <row r="10" spans="2:14" ht="6.75" customHeight="1">
      <c r="B10" s="913"/>
      <c r="C10" s="148"/>
      <c r="D10" s="23"/>
      <c r="E10" s="23"/>
      <c r="F10" s="149"/>
      <c r="G10" s="149"/>
      <c r="H10" s="150"/>
      <c r="I10" s="149"/>
      <c r="J10" s="149"/>
      <c r="K10" s="151"/>
      <c r="L10" s="152"/>
      <c r="M10" s="150"/>
      <c r="N10" s="153"/>
    </row>
    <row r="11" spans="2:14" ht="18" customHeight="1">
      <c r="B11" s="913">
        <v>1</v>
      </c>
      <c r="C11" s="148" t="s">
        <v>70</v>
      </c>
      <c r="D11" s="23"/>
      <c r="E11" s="23"/>
      <c r="F11" s="23"/>
      <c r="G11" s="232" t="s">
        <v>240</v>
      </c>
      <c r="H11" s="507"/>
      <c r="I11" s="23"/>
      <c r="J11" s="154"/>
      <c r="K11" s="154"/>
      <c r="L11" s="22"/>
      <c r="M11" s="155"/>
      <c r="N11" s="153"/>
    </row>
    <row r="12" spans="2:14" ht="6.75" customHeight="1">
      <c r="B12" s="913"/>
      <c r="C12" s="148"/>
      <c r="D12" s="23"/>
      <c r="E12" s="23"/>
      <c r="F12" s="23"/>
      <c r="G12" s="233"/>
      <c r="H12" s="134"/>
      <c r="I12" s="23"/>
      <c r="J12" s="134"/>
      <c r="K12" s="23"/>
      <c r="L12" s="23"/>
      <c r="M12" s="134"/>
      <c r="N12" s="153"/>
    </row>
    <row r="13" spans="2:16" ht="18" customHeight="1">
      <c r="B13" s="913">
        <f>B11+1</f>
        <v>2</v>
      </c>
      <c r="C13" s="148" t="s">
        <v>71</v>
      </c>
      <c r="D13" s="23"/>
      <c r="E13" s="23"/>
      <c r="F13" s="23"/>
      <c r="G13" s="232" t="s">
        <v>241</v>
      </c>
      <c r="H13" s="508"/>
      <c r="I13" s="135" t="s">
        <v>72</v>
      </c>
      <c r="J13" s="154"/>
      <c r="K13" s="154"/>
      <c r="L13" s="232" t="s">
        <v>241</v>
      </c>
      <c r="M13" s="508"/>
      <c r="N13" s="153"/>
      <c r="P13" s="156">
        <f>M13*4000</f>
        <v>0</v>
      </c>
    </row>
    <row r="14" spans="2:16" s="25" customFormat="1" ht="6.75" customHeight="1">
      <c r="B14" s="913"/>
      <c r="C14" s="157"/>
      <c r="D14" s="26"/>
      <c r="E14" s="26"/>
      <c r="F14" s="26"/>
      <c r="G14" s="94"/>
      <c r="H14" s="158"/>
      <c r="I14" s="26"/>
      <c r="J14" s="26"/>
      <c r="K14" s="26"/>
      <c r="L14" s="94"/>
      <c r="M14" s="26"/>
      <c r="N14" s="27"/>
      <c r="P14" s="7"/>
    </row>
    <row r="15" spans="2:16" ht="18" customHeight="1">
      <c r="B15" s="913">
        <f>B13+1</f>
        <v>3</v>
      </c>
      <c r="C15" s="148" t="s">
        <v>236</v>
      </c>
      <c r="D15" s="23"/>
      <c r="E15" s="23"/>
      <c r="F15" s="23"/>
      <c r="G15" s="232" t="s">
        <v>241</v>
      </c>
      <c r="H15" s="508"/>
      <c r="I15" s="135" t="s">
        <v>73</v>
      </c>
      <c r="J15" s="154"/>
      <c r="K15" s="154"/>
      <c r="L15" s="232" t="s">
        <v>241</v>
      </c>
      <c r="M15" s="508"/>
      <c r="N15" s="153"/>
      <c r="P15" s="156">
        <f>M15*1500</f>
        <v>0</v>
      </c>
    </row>
    <row r="16" spans="2:16" s="25" customFormat="1" ht="6.75" customHeight="1">
      <c r="B16" s="913"/>
      <c r="C16" s="157"/>
      <c r="D16" s="26"/>
      <c r="E16" s="26"/>
      <c r="F16" s="26"/>
      <c r="G16" s="94"/>
      <c r="H16" s="158"/>
      <c r="I16" s="26"/>
      <c r="J16" s="26"/>
      <c r="K16" s="26"/>
      <c r="L16" s="94"/>
      <c r="M16" s="26"/>
      <c r="N16" s="27"/>
      <c r="P16" s="7"/>
    </row>
    <row r="17" spans="2:17" s="25" customFormat="1" ht="18" customHeight="1">
      <c r="B17" s="913">
        <f>B15+1</f>
        <v>4</v>
      </c>
      <c r="C17" s="148" t="s">
        <v>74</v>
      </c>
      <c r="D17" s="23"/>
      <c r="E17" s="23"/>
      <c r="F17" s="23"/>
      <c r="G17" s="232" t="s">
        <v>240</v>
      </c>
      <c r="H17" s="159">
        <f>IF(H13=0,0,H11/H13)</f>
        <v>0</v>
      </c>
      <c r="I17" s="23" t="s">
        <v>75</v>
      </c>
      <c r="J17" s="131"/>
      <c r="K17" s="131"/>
      <c r="L17" s="232" t="s">
        <v>240</v>
      </c>
      <c r="M17" s="507"/>
      <c r="N17" s="160"/>
      <c r="P17" s="156">
        <f>SUM(P13:P15)</f>
        <v>0</v>
      </c>
      <c r="Q17" s="25" t="s">
        <v>76</v>
      </c>
    </row>
    <row r="18" spans="2:19" ht="18" customHeight="1">
      <c r="B18" s="913"/>
      <c r="C18" s="96" t="s">
        <v>77</v>
      </c>
      <c r="D18" s="70"/>
      <c r="E18" s="23"/>
      <c r="F18" s="23"/>
      <c r="G18" s="23"/>
      <c r="H18" s="134"/>
      <c r="I18" s="131"/>
      <c r="J18" s="22"/>
      <c r="K18" s="23"/>
      <c r="L18" s="23"/>
      <c r="M18" s="134"/>
      <c r="N18" s="161"/>
      <c r="S18" s="25"/>
    </row>
    <row r="19" spans="2:17" ht="18" customHeight="1">
      <c r="B19" s="913">
        <f>B17+1</f>
        <v>5</v>
      </c>
      <c r="C19" s="148" t="s">
        <v>123</v>
      </c>
      <c r="D19" s="23"/>
      <c r="E19" s="131"/>
      <c r="G19" s="163"/>
      <c r="H19" s="1184" t="s">
        <v>78</v>
      </c>
      <c r="I19" s="1184"/>
      <c r="J19" s="1184"/>
      <c r="K19" s="1184"/>
      <c r="L19" s="164"/>
      <c r="M19" s="155"/>
      <c r="N19" s="161"/>
      <c r="Q19" s="131"/>
    </row>
    <row r="20" spans="2:17" s="25" customFormat="1" ht="24" customHeight="1" hidden="1">
      <c r="B20" s="913"/>
      <c r="C20" s="157"/>
      <c r="D20" s="26"/>
      <c r="E20" s="26"/>
      <c r="F20" s="26"/>
      <c r="G20" s="20"/>
      <c r="H20" s="158"/>
      <c r="I20" s="26"/>
      <c r="J20" s="26"/>
      <c r="K20" s="26"/>
      <c r="L20" s="20"/>
      <c r="M20" s="26"/>
      <c r="N20" s="27" t="s">
        <v>59</v>
      </c>
      <c r="O20" s="7"/>
      <c r="Q20" s="25" t="str">
        <f>IF(H21&gt;0,IF(M17=0,"Tatsächliche Milchleistung eingeben !",""),"")</f>
        <v>Tatsächliche Milchleistung eingeben !</v>
      </c>
    </row>
    <row r="21" spans="2:21" ht="19.5" customHeight="1" hidden="1">
      <c r="B21" s="913">
        <v>7</v>
      </c>
      <c r="C21" s="148" t="s">
        <v>79</v>
      </c>
      <c r="D21" s="23"/>
      <c r="E21" s="131"/>
      <c r="F21" s="131"/>
      <c r="G21" s="22" t="s">
        <v>217</v>
      </c>
      <c r="H21" s="165">
        <v>250000</v>
      </c>
      <c r="I21" s="166"/>
      <c r="J21" s="130"/>
      <c r="K21" s="167"/>
      <c r="L21" s="168"/>
      <c r="M21" s="155"/>
      <c r="N21" s="161" t="s">
        <v>59</v>
      </c>
      <c r="Q21" s="131"/>
      <c r="R21" s="23"/>
      <c r="S21" s="23"/>
      <c r="T21" s="23"/>
      <c r="U21" s="134"/>
    </row>
    <row r="22" spans="2:21" ht="19.5" customHeight="1" hidden="1">
      <c r="B22" s="913"/>
      <c r="C22" s="96" t="s">
        <v>80</v>
      </c>
      <c r="D22" s="70"/>
      <c r="E22" s="23"/>
      <c r="F22" s="23"/>
      <c r="G22" s="163"/>
      <c r="H22" s="155"/>
      <c r="I22" s="23"/>
      <c r="J22" s="70"/>
      <c r="K22" s="26"/>
      <c r="L22" s="22"/>
      <c r="M22" s="169"/>
      <c r="N22" s="161"/>
      <c r="Q22" s="131"/>
      <c r="R22" s="23"/>
      <c r="S22" s="23"/>
      <c r="T22" s="131"/>
      <c r="U22" s="131"/>
    </row>
    <row r="23" spans="2:19" ht="6.75" customHeight="1" thickBot="1">
      <c r="B23" s="914"/>
      <c r="C23" s="171"/>
      <c r="D23" s="172"/>
      <c r="E23" s="173"/>
      <c r="F23" s="173"/>
      <c r="G23" s="173"/>
      <c r="H23" s="174"/>
      <c r="I23" s="173"/>
      <c r="J23" s="14"/>
      <c r="K23" s="173"/>
      <c r="L23" s="173"/>
      <c r="M23" s="174"/>
      <c r="N23" s="175"/>
      <c r="S23" s="25"/>
    </row>
    <row r="24" spans="2:19" ht="6.75" customHeight="1">
      <c r="B24" s="915"/>
      <c r="C24" s="148"/>
      <c r="D24" s="15"/>
      <c r="E24" s="141"/>
      <c r="F24" s="141"/>
      <c r="G24" s="141"/>
      <c r="H24" s="176"/>
      <c r="I24" s="141"/>
      <c r="J24" s="176"/>
      <c r="K24" s="141"/>
      <c r="L24" s="10"/>
      <c r="M24" s="176"/>
      <c r="N24" s="11"/>
      <c r="S24" s="25"/>
    </row>
    <row r="25" spans="1:19" ht="18" customHeight="1">
      <c r="A25" s="147"/>
      <c r="B25" s="913"/>
      <c r="C25" s="509" t="s">
        <v>366</v>
      </c>
      <c r="D25" s="23"/>
      <c r="E25" s="23"/>
      <c r="F25" s="23"/>
      <c r="G25" s="23"/>
      <c r="H25" s="134"/>
      <c r="I25" s="23"/>
      <c r="J25" s="134"/>
      <c r="K25" s="23"/>
      <c r="L25" s="23"/>
      <c r="M25" s="134"/>
      <c r="N25" s="27"/>
      <c r="S25" s="25"/>
    </row>
    <row r="26" spans="2:19" ht="6.75" customHeight="1">
      <c r="B26" s="913"/>
      <c r="C26" s="148"/>
      <c r="D26" s="177"/>
      <c r="E26" s="23"/>
      <c r="F26" s="23"/>
      <c r="G26" s="23"/>
      <c r="H26" s="134"/>
      <c r="I26" s="23"/>
      <c r="J26" s="134"/>
      <c r="K26" s="23"/>
      <c r="L26" s="23"/>
      <c r="M26" s="134"/>
      <c r="N26" s="27"/>
      <c r="S26" s="25"/>
    </row>
    <row r="27" spans="2:19" ht="18" customHeight="1">
      <c r="B27" s="913"/>
      <c r="C27" s="148"/>
      <c r="D27" s="178" t="s">
        <v>81</v>
      </c>
      <c r="E27" s="179" t="s">
        <v>82</v>
      </c>
      <c r="F27" s="179" t="s">
        <v>83</v>
      </c>
      <c r="G27" s="179" t="s">
        <v>84</v>
      </c>
      <c r="H27" s="179" t="s">
        <v>85</v>
      </c>
      <c r="I27" s="179" t="s">
        <v>86</v>
      </c>
      <c r="J27" s="180" t="s">
        <v>87</v>
      </c>
      <c r="K27" s="181" t="s">
        <v>88</v>
      </c>
      <c r="L27" s="182"/>
      <c r="M27" s="183"/>
      <c r="N27" s="17"/>
      <c r="O27" s="28">
        <f>IF(J27&lt;&gt;0,0,1)</f>
        <v>0</v>
      </c>
      <c r="S27" s="25"/>
    </row>
    <row r="28" spans="2:19" s="184" customFormat="1" ht="18" customHeight="1">
      <c r="B28" s="916"/>
      <c r="C28" s="185"/>
      <c r="D28" s="186"/>
      <c r="E28" s="187"/>
      <c r="F28" s="188"/>
      <c r="G28" s="189" t="s">
        <v>89</v>
      </c>
      <c r="H28" s="189"/>
      <c r="I28" s="189" t="s">
        <v>90</v>
      </c>
      <c r="J28" s="190" t="s">
        <v>35</v>
      </c>
      <c r="K28" s="191" t="s">
        <v>91</v>
      </c>
      <c r="L28" s="190" t="s">
        <v>92</v>
      </c>
      <c r="M28" s="192" t="s">
        <v>93</v>
      </c>
      <c r="N28" s="19"/>
      <c r="O28" s="193"/>
      <c r="S28" s="194"/>
    </row>
    <row r="29" spans="2:19" s="184" customFormat="1" ht="18" customHeight="1">
      <c r="B29" s="916"/>
      <c r="C29" s="185"/>
      <c r="D29" s="186"/>
      <c r="E29" s="187"/>
      <c r="F29" s="188"/>
      <c r="G29" s="189"/>
      <c r="H29" s="189"/>
      <c r="I29" s="189" t="s">
        <v>94</v>
      </c>
      <c r="J29" s="190"/>
      <c r="K29" s="191"/>
      <c r="L29" s="190" t="s">
        <v>95</v>
      </c>
      <c r="M29" s="192"/>
      <c r="N29" s="19"/>
      <c r="O29" s="193"/>
      <c r="S29" s="194"/>
    </row>
    <row r="30" spans="2:19" ht="18" customHeight="1">
      <c r="B30" s="913"/>
      <c r="C30" s="148"/>
      <c r="D30" s="195"/>
      <c r="E30" s="231" t="s">
        <v>230</v>
      </c>
      <c r="F30" s="238" t="s">
        <v>237</v>
      </c>
      <c r="G30" s="231" t="s">
        <v>238</v>
      </c>
      <c r="H30" s="231" t="s">
        <v>238</v>
      </c>
      <c r="I30" s="231" t="s">
        <v>238</v>
      </c>
      <c r="J30" s="231" t="s">
        <v>238</v>
      </c>
      <c r="K30" s="231" t="s">
        <v>238</v>
      </c>
      <c r="L30" s="238" t="s">
        <v>239</v>
      </c>
      <c r="M30" s="239" t="s">
        <v>239</v>
      </c>
      <c r="N30" s="17"/>
      <c r="O30" s="28"/>
      <c r="S30" s="25"/>
    </row>
    <row r="31" spans="2:19" ht="18" customHeight="1">
      <c r="B31" s="913">
        <f>B19+1</f>
        <v>6</v>
      </c>
      <c r="C31" s="148"/>
      <c r="D31" s="196" t="s">
        <v>96</v>
      </c>
      <c r="E31" s="504">
        <v>20</v>
      </c>
      <c r="F31" s="504">
        <v>4000</v>
      </c>
      <c r="G31" s="504">
        <v>800</v>
      </c>
      <c r="H31" s="504">
        <v>150</v>
      </c>
      <c r="I31" s="504">
        <v>200</v>
      </c>
      <c r="J31" s="504">
        <v>300</v>
      </c>
      <c r="K31" s="197">
        <f>G31+H31+I31-J31</f>
        <v>850</v>
      </c>
      <c r="L31" s="198">
        <f>IF(F31=0,0,K31/F31)</f>
        <v>0.2125</v>
      </c>
      <c r="M31" s="1179">
        <f>(L31*E31+L32*E32)/100</f>
        <v>0.18116666666666667</v>
      </c>
      <c r="N31" s="199"/>
      <c r="O31" s="200"/>
      <c r="S31" s="25"/>
    </row>
    <row r="32" spans="2:19" ht="18" customHeight="1">
      <c r="B32" s="913">
        <f>B31+1</f>
        <v>7</v>
      </c>
      <c r="C32" s="148"/>
      <c r="D32" s="201" t="s">
        <v>97</v>
      </c>
      <c r="E32" s="506">
        <f>100-E31</f>
        <v>80</v>
      </c>
      <c r="F32" s="505">
        <v>7500</v>
      </c>
      <c r="G32" s="505">
        <v>1100</v>
      </c>
      <c r="H32" s="505">
        <v>300</v>
      </c>
      <c r="I32" s="505">
        <v>200</v>
      </c>
      <c r="J32" s="505">
        <v>300</v>
      </c>
      <c r="K32" s="202">
        <f>G32+H32+I32-J32</f>
        <v>1300</v>
      </c>
      <c r="L32" s="198">
        <f>IF(F32=0,0,K32/F32)</f>
        <v>0.17333333333333334</v>
      </c>
      <c r="M32" s="1180"/>
      <c r="N32" s="199"/>
      <c r="O32" s="200"/>
      <c r="S32" s="25"/>
    </row>
    <row r="33" spans="2:14" s="25" customFormat="1" ht="6.75" customHeight="1" thickBot="1">
      <c r="B33" s="917"/>
      <c r="C33" s="203"/>
      <c r="D33" s="16"/>
      <c r="E33" s="172"/>
      <c r="F33" s="8">
        <f>IF(O33=1,"Achtung - Berechnung erfolgt ohne Grundfutterkosten!",0)</f>
        <v>0</v>
      </c>
      <c r="G33" s="172"/>
      <c r="H33" s="172"/>
      <c r="I33" s="172"/>
      <c r="J33" s="172"/>
      <c r="K33" s="172"/>
      <c r="L33" s="172"/>
      <c r="M33" s="172"/>
      <c r="N33" s="13"/>
    </row>
    <row r="34" spans="2:18" ht="6.75" customHeight="1">
      <c r="B34" s="913"/>
      <c r="C34" s="148"/>
      <c r="D34" s="141"/>
      <c r="E34" s="141"/>
      <c r="F34" s="141"/>
      <c r="G34" s="141"/>
      <c r="H34" s="176"/>
      <c r="I34" s="141"/>
      <c r="J34" s="176"/>
      <c r="K34" s="141"/>
      <c r="L34" s="141"/>
      <c r="M34" s="176"/>
      <c r="N34" s="146"/>
      <c r="O34" s="9"/>
      <c r="Q34" s="7"/>
      <c r="R34" s="18"/>
    </row>
    <row r="35" spans="2:18" ht="18" customHeight="1">
      <c r="B35" s="913"/>
      <c r="C35" s="509" t="s">
        <v>98</v>
      </c>
      <c r="D35" s="23"/>
      <c r="E35" s="23"/>
      <c r="F35" s="23"/>
      <c r="G35" s="23"/>
      <c r="H35" s="134"/>
      <c r="I35" s="204">
        <f>IF(Q40=2,"  Bitte entweder Pacht oder Kauf eingeben!","")</f>
      </c>
      <c r="J35" s="134"/>
      <c r="K35" s="23"/>
      <c r="L35" s="23"/>
      <c r="M35" s="134"/>
      <c r="N35" s="153"/>
      <c r="O35" s="25"/>
      <c r="Q35" s="7"/>
      <c r="R35" s="18"/>
    </row>
    <row r="36" spans="2:18" ht="6.75" customHeight="1">
      <c r="B36" s="913"/>
      <c r="C36" s="148"/>
      <c r="D36" s="177"/>
      <c r="E36" s="23"/>
      <c r="F36" s="23"/>
      <c r="G36" s="23"/>
      <c r="H36" s="134"/>
      <c r="I36" s="23"/>
      <c r="J36" s="26"/>
      <c r="K36" s="23"/>
      <c r="L36" s="134"/>
      <c r="M36" s="134"/>
      <c r="N36" s="153"/>
      <c r="O36" s="9"/>
      <c r="Q36" s="7"/>
      <c r="R36" s="18"/>
    </row>
    <row r="37" spans="2:18" ht="18" customHeight="1">
      <c r="B37" s="913"/>
      <c r="C37" s="148"/>
      <c r="D37" s="177"/>
      <c r="E37" s="23"/>
      <c r="F37" s="134" t="s">
        <v>99</v>
      </c>
      <c r="G37" s="131"/>
      <c r="H37" s="134" t="s">
        <v>100</v>
      </c>
      <c r="I37" s="134"/>
      <c r="J37" s="134" t="s">
        <v>101</v>
      </c>
      <c r="K37" s="131"/>
      <c r="L37" s="134" t="s">
        <v>102</v>
      </c>
      <c r="M37" s="131"/>
      <c r="N37" s="153"/>
      <c r="O37" s="9"/>
      <c r="Q37" s="7"/>
      <c r="R37" s="18"/>
    </row>
    <row r="38" spans="2:18" ht="18" customHeight="1">
      <c r="B38" s="913"/>
      <c r="C38" s="148"/>
      <c r="D38" s="177"/>
      <c r="E38" s="23"/>
      <c r="F38" s="131"/>
      <c r="G38" s="134"/>
      <c r="H38" s="134" t="s">
        <v>103</v>
      </c>
      <c r="I38" s="134"/>
      <c r="J38" s="134" t="s">
        <v>104</v>
      </c>
      <c r="K38" s="131"/>
      <c r="L38" s="134"/>
      <c r="M38" s="131"/>
      <c r="N38" s="153"/>
      <c r="O38" s="9"/>
      <c r="Q38" s="7"/>
      <c r="R38" s="18"/>
    </row>
    <row r="39" spans="2:18" ht="6.75" customHeight="1">
      <c r="B39" s="913"/>
      <c r="C39" s="148"/>
      <c r="D39" s="23"/>
      <c r="E39" s="23"/>
      <c r="F39" s="205"/>
      <c r="G39" s="131"/>
      <c r="H39" s="206"/>
      <c r="I39" s="114"/>
      <c r="J39" s="207"/>
      <c r="K39" s="205"/>
      <c r="L39" s="205"/>
      <c r="M39" s="131"/>
      <c r="N39" s="27"/>
      <c r="O39" s="26"/>
      <c r="P39" s="23"/>
      <c r="Q39" s="7"/>
      <c r="R39" s="18"/>
    </row>
    <row r="40" spans="2:18" ht="18" customHeight="1" hidden="1">
      <c r="B40" s="913">
        <f>B32+1</f>
        <v>8</v>
      </c>
      <c r="C40" s="148" t="s">
        <v>105</v>
      </c>
      <c r="D40" s="23"/>
      <c r="E40" s="131"/>
      <c r="F40" s="1002"/>
      <c r="G40" s="234" t="s">
        <v>218</v>
      </c>
      <c r="H40" s="26"/>
      <c r="I40" s="26"/>
      <c r="J40" s="131"/>
      <c r="K40" s="209"/>
      <c r="L40" s="210">
        <f>F40</f>
        <v>0</v>
      </c>
      <c r="M40" s="234" t="s">
        <v>218</v>
      </c>
      <c r="N40" s="27"/>
      <c r="P40" s="240">
        <f>MAX(L40:L42)</f>
        <v>0</v>
      </c>
      <c r="Q40" s="241">
        <f>P41+Q42</f>
        <v>0</v>
      </c>
      <c r="R40" s="18"/>
    </row>
    <row r="41" spans="2:18" ht="6.75" customHeight="1">
      <c r="B41" s="913"/>
      <c r="C41" s="148"/>
      <c r="D41" s="23"/>
      <c r="E41" s="23"/>
      <c r="F41" s="205"/>
      <c r="G41" s="235"/>
      <c r="H41" s="206"/>
      <c r="I41" s="114"/>
      <c r="J41" s="207"/>
      <c r="K41" s="205"/>
      <c r="L41" s="205"/>
      <c r="M41" s="235"/>
      <c r="N41" s="27"/>
      <c r="O41" s="26"/>
      <c r="P41" s="243">
        <f>IF(F40&gt;0,1,0)</f>
        <v>0</v>
      </c>
      <c r="Q41" s="7"/>
      <c r="R41" s="18"/>
    </row>
    <row r="42" spans="2:18" ht="18" customHeight="1">
      <c r="B42" s="913">
        <f>B32+1</f>
        <v>8</v>
      </c>
      <c r="C42" s="148" t="s">
        <v>106</v>
      </c>
      <c r="D42" s="23"/>
      <c r="E42" s="131"/>
      <c r="F42" s="510"/>
      <c r="G42" s="234" t="s">
        <v>218</v>
      </c>
      <c r="H42" s="511">
        <v>5</v>
      </c>
      <c r="I42" s="208" t="s">
        <v>242</v>
      </c>
      <c r="J42" s="512">
        <v>5</v>
      </c>
      <c r="K42" s="234" t="s">
        <v>107</v>
      </c>
      <c r="L42" s="210">
        <f>IF(J42=0,F42*H42%,F42/J42+H42%*0.65*F42)</f>
        <v>0</v>
      </c>
      <c r="M42" s="234" t="s">
        <v>218</v>
      </c>
      <c r="N42" s="27"/>
      <c r="P42" s="211">
        <f>H42/100</f>
        <v>0.05</v>
      </c>
      <c r="Q42" s="242">
        <f>IF(F42&gt;0,1,0)</f>
        <v>0</v>
      </c>
      <c r="R42" s="18"/>
    </row>
    <row r="43" spans="2:18" ht="6.75" customHeight="1" thickBot="1">
      <c r="B43" s="917"/>
      <c r="C43" s="171"/>
      <c r="D43" s="172"/>
      <c r="E43" s="8"/>
      <c r="F43" s="173"/>
      <c r="G43" s="173"/>
      <c r="H43" s="174"/>
      <c r="I43" s="173"/>
      <c r="J43" s="174"/>
      <c r="K43" s="173"/>
      <c r="L43" s="173"/>
      <c r="M43" s="174"/>
      <c r="N43" s="212"/>
      <c r="Q43" s="7"/>
      <c r="R43" s="18"/>
    </row>
    <row r="44" spans="2:18" ht="6.75" customHeight="1">
      <c r="B44" s="913"/>
      <c r="C44" s="148"/>
      <c r="D44" s="141"/>
      <c r="E44" s="141"/>
      <c r="F44" s="141"/>
      <c r="G44" s="141"/>
      <c r="H44" s="176"/>
      <c r="I44" s="141"/>
      <c r="J44" s="176"/>
      <c r="K44" s="141"/>
      <c r="L44" s="141"/>
      <c r="M44" s="176"/>
      <c r="N44" s="146"/>
      <c r="Q44" s="7"/>
      <c r="R44" s="18"/>
    </row>
    <row r="45" spans="1:18" ht="18" customHeight="1">
      <c r="A45" s="147"/>
      <c r="B45" s="913"/>
      <c r="C45" s="509" t="s">
        <v>108</v>
      </c>
      <c r="D45" s="130"/>
      <c r="E45" s="214"/>
      <c r="F45" s="214"/>
      <c r="G45" s="214"/>
      <c r="H45" s="215"/>
      <c r="I45" s="131"/>
      <c r="J45" s="215"/>
      <c r="K45" s="131"/>
      <c r="L45" s="215"/>
      <c r="M45" s="131"/>
      <c r="N45" s="153"/>
      <c r="Q45" s="7"/>
      <c r="R45" s="18"/>
    </row>
    <row r="46" spans="2:18" ht="18" customHeight="1">
      <c r="B46" s="913"/>
      <c r="C46" s="148"/>
      <c r="D46" s="130"/>
      <c r="E46" s="214"/>
      <c r="F46" s="214"/>
      <c r="G46" s="214"/>
      <c r="H46" s="215"/>
      <c r="I46" s="131"/>
      <c r="J46" s="215"/>
      <c r="K46" s="131"/>
      <c r="L46" s="215"/>
      <c r="M46" s="131"/>
      <c r="N46" s="153"/>
      <c r="Q46" s="7"/>
      <c r="R46" s="18"/>
    </row>
    <row r="47" spans="2:18" ht="18" customHeight="1">
      <c r="B47" s="913">
        <f>B42+1</f>
        <v>9</v>
      </c>
      <c r="C47" s="213" t="s">
        <v>109</v>
      </c>
      <c r="D47" s="130"/>
      <c r="E47" s="513">
        <v>12.5</v>
      </c>
      <c r="F47" s="236" t="s">
        <v>219</v>
      </c>
      <c r="G47" s="214"/>
      <c r="H47" s="216" t="s">
        <v>110</v>
      </c>
      <c r="I47" s="217"/>
      <c r="J47" s="218" t="s">
        <v>111</v>
      </c>
      <c r="K47" s="217"/>
      <c r="L47" s="217" t="s">
        <v>112</v>
      </c>
      <c r="M47" s="207"/>
      <c r="N47" s="153"/>
      <c r="Q47" s="7"/>
      <c r="R47" s="18"/>
    </row>
    <row r="48" spans="2:18" ht="18" customHeight="1">
      <c r="B48" s="913"/>
      <c r="C48" s="148"/>
      <c r="D48" s="131"/>
      <c r="E48" s="131"/>
      <c r="F48" s="131"/>
      <c r="G48" s="214"/>
      <c r="H48" s="217" t="s">
        <v>113</v>
      </c>
      <c r="I48" s="217"/>
      <c r="J48" s="218" t="s">
        <v>114</v>
      </c>
      <c r="K48" s="217"/>
      <c r="L48" s="217" t="s">
        <v>115</v>
      </c>
      <c r="M48" s="207"/>
      <c r="N48" s="153"/>
      <c r="Q48" s="7"/>
      <c r="R48" s="18"/>
    </row>
    <row r="49" spans="2:18" ht="18" customHeight="1">
      <c r="B49" s="913"/>
      <c r="C49" s="148"/>
      <c r="D49" s="214"/>
      <c r="E49" s="214"/>
      <c r="F49" s="214"/>
      <c r="G49" s="214"/>
      <c r="H49" s="217" t="s">
        <v>116</v>
      </c>
      <c r="I49" s="217"/>
      <c r="J49" s="218" t="s">
        <v>117</v>
      </c>
      <c r="K49" s="217"/>
      <c r="L49" s="217"/>
      <c r="M49" s="207"/>
      <c r="N49" s="153"/>
      <c r="Q49" s="7"/>
      <c r="R49" s="18"/>
    </row>
    <row r="50" spans="2:18" ht="6.75" customHeight="1">
      <c r="B50" s="913"/>
      <c r="C50" s="148"/>
      <c r="D50" s="214"/>
      <c r="E50" s="214"/>
      <c r="F50" s="214"/>
      <c r="G50" s="214"/>
      <c r="H50" s="214"/>
      <c r="I50" s="214"/>
      <c r="J50" s="219"/>
      <c r="K50" s="220"/>
      <c r="L50" s="215"/>
      <c r="M50" s="131"/>
      <c r="N50" s="153"/>
      <c r="Q50" s="7"/>
      <c r="R50" s="18"/>
    </row>
    <row r="51" spans="2:18" ht="18" customHeight="1">
      <c r="B51" s="913">
        <f>B47+1</f>
        <v>10</v>
      </c>
      <c r="C51" s="213" t="s">
        <v>118</v>
      </c>
      <c r="D51" s="130"/>
      <c r="E51" s="221"/>
      <c r="F51" s="214"/>
      <c r="G51" s="131"/>
      <c r="H51" s="507"/>
      <c r="I51" s="222" t="s">
        <v>119</v>
      </c>
      <c r="J51" s="507"/>
      <c r="K51" s="223"/>
      <c r="L51" s="224">
        <f>H51-J51</f>
        <v>0</v>
      </c>
      <c r="M51" s="236" t="s">
        <v>120</v>
      </c>
      <c r="N51" s="153"/>
      <c r="Q51" s="7"/>
      <c r="R51" s="18"/>
    </row>
    <row r="52" spans="2:18" ht="6.75" customHeight="1">
      <c r="B52" s="913"/>
      <c r="C52" s="148"/>
      <c r="D52" s="221"/>
      <c r="E52" s="221"/>
      <c r="F52" s="214"/>
      <c r="G52" s="131"/>
      <c r="H52" s="21"/>
      <c r="I52" s="223"/>
      <c r="J52" s="223"/>
      <c r="K52" s="225"/>
      <c r="L52" s="226"/>
      <c r="M52" s="237"/>
      <c r="N52" s="153"/>
      <c r="Q52" s="7"/>
      <c r="R52" s="18"/>
    </row>
    <row r="53" spans="2:18" ht="18" customHeight="1">
      <c r="B53" s="913">
        <f>B51+1</f>
        <v>11</v>
      </c>
      <c r="C53" s="213" t="s">
        <v>121</v>
      </c>
      <c r="D53" s="130"/>
      <c r="E53" s="221"/>
      <c r="F53" s="214"/>
      <c r="G53" s="131"/>
      <c r="H53" s="131"/>
      <c r="I53" s="169"/>
      <c r="J53" s="227"/>
      <c r="K53" s="228" t="s">
        <v>119</v>
      </c>
      <c r="L53" s="507"/>
      <c r="M53" s="236" t="s">
        <v>220</v>
      </c>
      <c r="N53" s="153"/>
      <c r="Q53" s="7"/>
      <c r="R53" s="18"/>
    </row>
    <row r="54" spans="2:18" ht="6.75" customHeight="1">
      <c r="B54" s="913"/>
      <c r="C54" s="148"/>
      <c r="D54" s="221"/>
      <c r="E54" s="221"/>
      <c r="F54" s="214"/>
      <c r="G54" s="131"/>
      <c r="H54" s="21"/>
      <c r="I54" s="223"/>
      <c r="J54" s="223"/>
      <c r="K54" s="225"/>
      <c r="L54" s="226"/>
      <c r="M54" s="237"/>
      <c r="N54" s="153"/>
      <c r="Q54" s="7"/>
      <c r="R54" s="18"/>
    </row>
    <row r="55" spans="2:18" ht="18" customHeight="1">
      <c r="B55" s="913">
        <f>B53+1</f>
        <v>12</v>
      </c>
      <c r="C55" s="213" t="s">
        <v>122</v>
      </c>
      <c r="D55" s="130"/>
      <c r="E55" s="221"/>
      <c r="F55" s="214"/>
      <c r="G55" s="131"/>
      <c r="H55" s="131"/>
      <c r="I55" s="169"/>
      <c r="J55" s="227"/>
      <c r="K55" s="131"/>
      <c r="L55" s="507"/>
      <c r="M55" s="236" t="s">
        <v>220</v>
      </c>
      <c r="N55" s="153"/>
      <c r="Q55" s="7"/>
      <c r="R55" s="18"/>
    </row>
    <row r="56" spans="2:18" ht="6.75" customHeight="1" thickBot="1">
      <c r="B56" s="170"/>
      <c r="C56" s="171"/>
      <c r="D56" s="173"/>
      <c r="E56" s="8"/>
      <c r="F56" s="173"/>
      <c r="G56" s="173"/>
      <c r="H56" s="174"/>
      <c r="I56" s="173"/>
      <c r="J56" s="174"/>
      <c r="K56" s="173"/>
      <c r="L56" s="173"/>
      <c r="M56" s="174"/>
      <c r="N56" s="212"/>
      <c r="Q56" s="7"/>
      <c r="R56" s="18"/>
    </row>
    <row r="57" ht="15" customHeight="1"/>
    <row r="58" spans="1:14" ht="15" customHeight="1">
      <c r="A58" s="147"/>
      <c r="N58" s="229"/>
    </row>
    <row r="59" ht="15" customHeight="1" hidden="1">
      <c r="D59" s="550">
        <f>VLOOKUP(H19,D60:F62,3,FALSE)</f>
        <v>2</v>
      </c>
    </row>
    <row r="60" spans="4:6" ht="15" customHeight="1" hidden="1">
      <c r="D60" s="542">
        <v>0</v>
      </c>
      <c r="E60" s="543"/>
      <c r="F60" s="544">
        <v>1</v>
      </c>
    </row>
    <row r="61" spans="4:6" ht="15" customHeight="1" hidden="1">
      <c r="D61" s="545" t="s">
        <v>78</v>
      </c>
      <c r="E61" s="23"/>
      <c r="F61" s="546">
        <v>2</v>
      </c>
    </row>
    <row r="62" spans="4:6" ht="15" customHeight="1" hidden="1">
      <c r="D62" s="547" t="s">
        <v>331</v>
      </c>
      <c r="E62" s="138"/>
      <c r="F62" s="548">
        <v>3</v>
      </c>
    </row>
  </sheetData>
  <sheetProtection password="9339" sheet="1" objects="1" scenarios="1"/>
  <mergeCells count="7">
    <mergeCell ref="M31:M32"/>
    <mergeCell ref="E2:H2"/>
    <mergeCell ref="E4:H4"/>
    <mergeCell ref="G6:N6"/>
    <mergeCell ref="M2:N2"/>
    <mergeCell ref="M4:N4"/>
    <mergeCell ref="H19:K19"/>
  </mergeCells>
  <conditionalFormatting sqref="J32">
    <cfRule type="cellIs" priority="1" dxfId="0" operator="between" stopIfTrue="1">
      <formula>300</formula>
      <formula>500</formula>
    </cfRule>
  </conditionalFormatting>
  <dataValidations count="3">
    <dataValidation type="list" allowBlank="1" showInputMessage="1" showErrorMessage="1" errorTitle="Plan-Nummer" error="Bitte aus Liste auswählen." sqref="E6">
      <formula1>$P$2:$P$6</formula1>
    </dataValidation>
    <dataValidation type="list" allowBlank="1" showInputMessage="1" showErrorMessage="1" errorTitle="Rasse" error="Bitte aus Liste auswählen!" sqref="H19:K19">
      <formula1>$D$60:$D$62</formula1>
    </dataValidation>
    <dataValidation type="whole" allowBlank="1" showInputMessage="1" showErrorMessage="1" errorTitle="Anteil Grünland" error="Es sind nur Werte zwischen 0 und 100 Prozent zulässig!" sqref="E31">
      <formula1>0</formula1>
      <formula2>100</formula2>
    </dataValidation>
  </dataValidations>
  <printOptions horizontalCentered="1"/>
  <pageMargins left="0.38" right="0.5905511811023623" top="0.5905511811023623" bottom="0.5905511811023623" header="0.1968503937007874" footer="0.1968503937007874"/>
  <pageSetup horizontalDpi="300" verticalDpi="300" orientation="portrait" paperSize="9" scale="87" r:id="rId2"/>
  <headerFooter alignWithMargins="0">
    <oddFooter>&amp;L&amp;8LEL Schwäbisch Gmünd 
Abt. 2&amp;C&amp;8&amp;F
&amp;A&amp;R&amp;8&amp;D
&amp;"Arial,Fett"&amp;12Seite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X44"/>
  <sheetViews>
    <sheetView showGridLines="0" showZeros="0" workbookViewId="0" topLeftCell="A1">
      <pane ySplit="1" topLeftCell="BM2" activePane="bottomLeft" state="frozen"/>
      <selection pane="topLeft" activeCell="F72" sqref="F72"/>
      <selection pane="bottomLeft" activeCell="F72" sqref="F72"/>
    </sheetView>
  </sheetViews>
  <sheetFormatPr defaultColWidth="11.421875" defaultRowHeight="12.75"/>
  <cols>
    <col min="1" max="1" width="1.7109375" style="269" customWidth="1"/>
    <col min="2" max="2" width="3.7109375" style="269" customWidth="1"/>
    <col min="3" max="3" width="12.7109375" style="269" customWidth="1"/>
    <col min="4" max="4" width="9.7109375" style="269" customWidth="1"/>
    <col min="5" max="5" width="7.7109375" style="269" customWidth="1"/>
    <col min="6" max="7" width="9.7109375" style="269" customWidth="1"/>
    <col min="8" max="8" width="12.28125" style="269" customWidth="1"/>
    <col min="9" max="9" width="9.7109375" style="269" customWidth="1"/>
    <col min="10" max="10" width="12.28125" style="269" bestFit="1" customWidth="1"/>
    <col min="11" max="12" width="9.7109375" style="269" customWidth="1"/>
    <col min="13" max="14" width="11.57421875" style="269" hidden="1" customWidth="1"/>
    <col min="15" max="15" width="11.57421875" style="269" customWidth="1"/>
    <col min="16" max="16" width="7.7109375" style="269" hidden="1" customWidth="1"/>
    <col min="17" max="17" width="11.28125" style="269" hidden="1" customWidth="1"/>
    <col min="18" max="19" width="7.7109375" style="269" hidden="1" customWidth="1"/>
    <col min="20" max="20" width="0" style="269" hidden="1" customWidth="1"/>
    <col min="21" max="21" width="7.7109375" style="269" hidden="1" customWidth="1"/>
    <col min="22" max="22" width="4.28125" style="269" customWidth="1"/>
    <col min="23" max="23" width="11.57421875" style="269" customWidth="1"/>
    <col min="24" max="24" width="8.57421875" style="269" customWidth="1"/>
    <col min="25" max="16384" width="11.57421875" style="269" customWidth="1"/>
  </cols>
  <sheetData>
    <row r="1" spans="2:14" s="126" customFormat="1" ht="36" customHeight="1">
      <c r="B1" s="615" t="s">
        <v>382</v>
      </c>
      <c r="D1" s="128"/>
      <c r="E1" s="128"/>
      <c r="F1" s="128"/>
      <c r="G1" s="128"/>
      <c r="H1" s="128"/>
      <c r="I1" s="128"/>
      <c r="J1" s="128"/>
      <c r="K1" s="129"/>
      <c r="L1" s="128"/>
      <c r="M1" s="128"/>
      <c r="N1" s="128"/>
    </row>
    <row r="2" spans="1:12" ht="19.5" customHeight="1">
      <c r="A2" s="268"/>
      <c r="B2" s="269" t="s">
        <v>65</v>
      </c>
      <c r="D2" s="273">
        <f>IF(Betriebsdaten!E2=0,0,Betriebsdaten!E2&amp;"; "&amp;Betriebsdaten!E4)</f>
        <v>0</v>
      </c>
      <c r="E2" s="274"/>
      <c r="F2" s="274"/>
      <c r="G2" s="274"/>
      <c r="H2" s="115"/>
      <c r="I2" s="484" t="s">
        <v>269</v>
      </c>
      <c r="J2" s="577">
        <f>Betriebsdaten!M4</f>
        <v>0</v>
      </c>
      <c r="K2" s="483" t="s">
        <v>268</v>
      </c>
      <c r="L2" s="583">
        <f>Betriebsdaten!E6</f>
        <v>1</v>
      </c>
    </row>
    <row r="3" spans="3:12" ht="30" customHeight="1" thickBot="1">
      <c r="C3" s="280" t="s">
        <v>270</v>
      </c>
      <c r="D3" s="387"/>
      <c r="E3" s="271"/>
      <c r="F3" s="271"/>
      <c r="G3" s="271"/>
      <c r="H3" s="20"/>
      <c r="I3" s="20"/>
      <c r="J3" s="20"/>
      <c r="K3" s="275"/>
      <c r="L3" s="389"/>
    </row>
    <row r="4" spans="2:12" ht="19.5" customHeight="1">
      <c r="B4" s="918">
        <f>Betriebsdaten!B55+1</f>
        <v>13</v>
      </c>
      <c r="C4" s="391" t="s">
        <v>123</v>
      </c>
      <c r="D4" s="391"/>
      <c r="E4" s="396" t="str">
        <f>Betriebsdaten!H19</f>
        <v>Fleckvieh</v>
      </c>
      <c r="F4" s="391"/>
      <c r="G4" s="537"/>
      <c r="H4" s="395" t="s">
        <v>248</v>
      </c>
      <c r="I4" s="422"/>
      <c r="J4" s="422"/>
      <c r="K4" s="516">
        <v>3.5</v>
      </c>
      <c r="L4" s="392" t="s">
        <v>107</v>
      </c>
    </row>
    <row r="5" spans="2:12" ht="19.5" customHeight="1">
      <c r="B5" s="919">
        <f>B4+1</f>
        <v>14</v>
      </c>
      <c r="C5" s="275" t="s">
        <v>124</v>
      </c>
      <c r="D5" s="275"/>
      <c r="E5" s="514">
        <v>33</v>
      </c>
      <c r="F5" s="357" t="s">
        <v>229</v>
      </c>
      <c r="G5" s="20"/>
      <c r="H5" s="296" t="s">
        <v>249</v>
      </c>
      <c r="I5" s="20"/>
      <c r="J5" s="20"/>
      <c r="K5" s="397">
        <f>Betriebsdaten!M17</f>
        <v>0</v>
      </c>
      <c r="L5" s="390" t="s">
        <v>125</v>
      </c>
    </row>
    <row r="6" spans="2:12" ht="19.5" customHeight="1" thickBot="1">
      <c r="B6" s="920">
        <f>B5+1</f>
        <v>15</v>
      </c>
      <c r="C6" s="393" t="s">
        <v>374</v>
      </c>
      <c r="D6" s="325"/>
      <c r="E6" s="515"/>
      <c r="F6" s="394" t="s">
        <v>221</v>
      </c>
      <c r="G6" s="413"/>
      <c r="H6" s="592"/>
      <c r="I6" s="593"/>
      <c r="J6" s="593"/>
      <c r="K6" s="595"/>
      <c r="L6" s="594"/>
    </row>
    <row r="7" spans="2:11" ht="30" customHeight="1" thickBot="1">
      <c r="B7" s="280"/>
      <c r="C7" s="7"/>
      <c r="D7" s="270"/>
      <c r="E7" s="271"/>
      <c r="F7" s="271"/>
      <c r="G7" s="271"/>
      <c r="H7" s="281"/>
      <c r="I7" s="282"/>
      <c r="J7" s="282"/>
      <c r="K7" s="282"/>
    </row>
    <row r="8" spans="1:12" ht="21.75" customHeight="1" thickBot="1">
      <c r="A8" s="268"/>
      <c r="B8" s="384"/>
      <c r="C8" s="551" t="s">
        <v>247</v>
      </c>
      <c r="D8" s="283"/>
      <c r="E8" s="283"/>
      <c r="F8" s="283"/>
      <c r="G8" s="283"/>
      <c r="H8" s="284"/>
      <c r="I8" s="285"/>
      <c r="J8" s="285"/>
      <c r="K8" s="285"/>
      <c r="L8" s="286"/>
    </row>
    <row r="9" spans="2:13" ht="19.5" customHeight="1">
      <c r="B9" s="921">
        <f>B6+1</f>
        <v>16</v>
      </c>
      <c r="C9" s="287" t="s">
        <v>126</v>
      </c>
      <c r="D9" s="275"/>
      <c r="E9" s="275"/>
      <c r="F9" s="288">
        <f>K5*E5/100</f>
        <v>0</v>
      </c>
      <c r="G9" s="358" t="s">
        <v>221</v>
      </c>
      <c r="H9" s="289" t="s">
        <v>243</v>
      </c>
      <c r="I9" s="275"/>
      <c r="J9" s="275"/>
      <c r="K9" s="517">
        <v>250</v>
      </c>
      <c r="L9" s="360" t="s">
        <v>222</v>
      </c>
      <c r="M9" s="7"/>
    </row>
    <row r="10" spans="2:13" ht="19.5" customHeight="1">
      <c r="B10" s="922">
        <f>B9+1</f>
        <v>17</v>
      </c>
      <c r="C10" s="287" t="s">
        <v>127</v>
      </c>
      <c r="D10" s="275"/>
      <c r="E10" s="275"/>
      <c r="F10" s="290">
        <f>IF(Betriebsdaten!D59=2,K9*K11,IF(Betriebsdaten!D59=3,K10*K11,0))</f>
        <v>275</v>
      </c>
      <c r="G10" s="358" t="s">
        <v>221</v>
      </c>
      <c r="H10" s="289" t="s">
        <v>244</v>
      </c>
      <c r="I10" s="275"/>
      <c r="J10" s="275"/>
      <c r="K10" s="517">
        <v>150</v>
      </c>
      <c r="L10" s="360" t="s">
        <v>222</v>
      </c>
      <c r="M10" s="7"/>
    </row>
    <row r="11" spans="2:13" ht="19.5" customHeight="1">
      <c r="B11" s="922">
        <f aca="true" t="shared" si="0" ref="B11:B23">B10+1</f>
        <v>18</v>
      </c>
      <c r="C11" s="287" t="s">
        <v>128</v>
      </c>
      <c r="D11" s="275"/>
      <c r="E11" s="275"/>
      <c r="F11" s="290">
        <f>IF(K4=0,0,IF(Betriebsdaten!D59=2,K12/K4,IF(Betriebsdaten!D59=3,K13/K4,0)))</f>
        <v>228.57142857142858</v>
      </c>
      <c r="G11" s="358" t="s">
        <v>221</v>
      </c>
      <c r="H11" s="289" t="s">
        <v>129</v>
      </c>
      <c r="I11" s="275"/>
      <c r="J11" s="275"/>
      <c r="K11" s="518">
        <v>1.1</v>
      </c>
      <c r="L11" s="360" t="s">
        <v>130</v>
      </c>
      <c r="M11" s="7"/>
    </row>
    <row r="12" spans="2:13" ht="19.5" customHeight="1">
      <c r="B12" s="922">
        <f t="shared" si="0"/>
        <v>19</v>
      </c>
      <c r="C12" s="287" t="s">
        <v>131</v>
      </c>
      <c r="D12" s="275"/>
      <c r="E12" s="275"/>
      <c r="F12" s="290">
        <f>E6</f>
        <v>0</v>
      </c>
      <c r="G12" s="358" t="s">
        <v>221</v>
      </c>
      <c r="H12" s="291" t="s">
        <v>132</v>
      </c>
      <c r="I12" s="279"/>
      <c r="J12" s="279"/>
      <c r="K12" s="517">
        <v>800</v>
      </c>
      <c r="L12" s="361" t="s">
        <v>223</v>
      </c>
      <c r="M12" s="7"/>
    </row>
    <row r="13" spans="2:21" ht="19.5" customHeight="1">
      <c r="B13" s="922">
        <f t="shared" si="0"/>
        <v>20</v>
      </c>
      <c r="C13" s="287" t="s">
        <v>133</v>
      </c>
      <c r="D13" s="275"/>
      <c r="E13" s="275"/>
      <c r="F13" s="517">
        <v>250</v>
      </c>
      <c r="G13" s="358" t="s">
        <v>221</v>
      </c>
      <c r="H13" s="291" t="s">
        <v>134</v>
      </c>
      <c r="I13" s="279"/>
      <c r="J13" s="279"/>
      <c r="K13" s="517">
        <v>600</v>
      </c>
      <c r="L13" s="361" t="s">
        <v>223</v>
      </c>
      <c r="M13" s="7"/>
      <c r="R13" s="292"/>
      <c r="U13" s="293"/>
    </row>
    <row r="14" spans="1:13" ht="21.75" customHeight="1">
      <c r="A14" s="268"/>
      <c r="B14" s="923">
        <f t="shared" si="0"/>
        <v>21</v>
      </c>
      <c r="C14" s="294" t="s">
        <v>135</v>
      </c>
      <c r="D14" s="295"/>
      <c r="E14" s="295"/>
      <c r="F14" s="278">
        <f>SUM(F9:F13)</f>
        <v>753.5714285714286</v>
      </c>
      <c r="G14" s="359" t="s">
        <v>221</v>
      </c>
      <c r="H14" s="296" t="s">
        <v>136</v>
      </c>
      <c r="I14" s="275"/>
      <c r="J14" s="275"/>
      <c r="K14" s="519">
        <v>3000</v>
      </c>
      <c r="L14" s="360" t="s">
        <v>137</v>
      </c>
      <c r="M14" s="7"/>
    </row>
    <row r="15" spans="2:24" ht="19.5" customHeight="1">
      <c r="B15" s="922">
        <f t="shared" si="0"/>
        <v>22</v>
      </c>
      <c r="C15" s="287" t="s">
        <v>138</v>
      </c>
      <c r="D15" s="275"/>
      <c r="E15" s="275"/>
      <c r="F15" s="290">
        <f>IF(K4=0,0,K16/K4)</f>
        <v>400</v>
      </c>
      <c r="G15" s="358" t="s">
        <v>221</v>
      </c>
      <c r="H15" s="291" t="s">
        <v>139</v>
      </c>
      <c r="I15" s="279"/>
      <c r="J15" s="279"/>
      <c r="K15" s="290">
        <f>IF(K14=0,0,(R17+K14*U17)/10)</f>
        <v>2707.7777777777774</v>
      </c>
      <c r="L15" s="362" t="s">
        <v>140</v>
      </c>
      <c r="M15" s="7"/>
      <c r="P15" s="97" t="s">
        <v>141</v>
      </c>
      <c r="Q15" s="98"/>
      <c r="R15" s="99"/>
      <c r="S15" s="97" t="s">
        <v>142</v>
      </c>
      <c r="T15" s="98"/>
      <c r="U15" s="99"/>
      <c r="X15" s="591"/>
    </row>
    <row r="16" spans="2:21" ht="19.5" customHeight="1">
      <c r="B16" s="922">
        <f t="shared" si="0"/>
        <v>23</v>
      </c>
      <c r="C16" s="287" t="s">
        <v>143</v>
      </c>
      <c r="D16" s="275"/>
      <c r="E16" s="275"/>
      <c r="F16" s="290">
        <f>IF(K5=0,0,(K5-K14)*0.5*K17/100)</f>
        <v>0</v>
      </c>
      <c r="G16" s="358" t="s">
        <v>221</v>
      </c>
      <c r="H16" s="289" t="s">
        <v>144</v>
      </c>
      <c r="I16" s="275"/>
      <c r="J16" s="275"/>
      <c r="K16" s="517">
        <v>1400</v>
      </c>
      <c r="L16" s="361" t="s">
        <v>223</v>
      </c>
      <c r="M16" s="7"/>
      <c r="P16" s="101" t="s">
        <v>145</v>
      </c>
      <c r="Q16" s="100" t="s">
        <v>146</v>
      </c>
      <c r="R16" s="104" t="s">
        <v>147</v>
      </c>
      <c r="S16" s="102"/>
      <c r="T16" s="100" t="s">
        <v>146</v>
      </c>
      <c r="U16" s="105" t="s">
        <v>147</v>
      </c>
    </row>
    <row r="17" spans="2:21" ht="19.5" customHeight="1">
      <c r="B17" s="922">
        <f t="shared" si="0"/>
        <v>24</v>
      </c>
      <c r="C17" s="287" t="s">
        <v>148</v>
      </c>
      <c r="D17" s="275"/>
      <c r="E17" s="275"/>
      <c r="F17" s="517">
        <v>100</v>
      </c>
      <c r="G17" s="358" t="s">
        <v>221</v>
      </c>
      <c r="H17" s="297" t="s">
        <v>149</v>
      </c>
      <c r="I17" s="277"/>
      <c r="J17" s="277"/>
      <c r="K17" s="520">
        <v>22</v>
      </c>
      <c r="L17" s="363" t="s">
        <v>224</v>
      </c>
      <c r="M17" s="7"/>
      <c r="P17" s="106">
        <v>14860</v>
      </c>
      <c r="Q17" s="107">
        <v>10</v>
      </c>
      <c r="R17" s="299">
        <f>P17*100/(100-Q17)</f>
        <v>16511.11111111111</v>
      </c>
      <c r="S17" s="108">
        <v>3.17</v>
      </c>
      <c r="T17" s="103">
        <f>Q17</f>
        <v>10</v>
      </c>
      <c r="U17" s="300">
        <f>S17*100/(100-T17)</f>
        <v>3.522222222222222</v>
      </c>
    </row>
    <row r="18" spans="2:13" ht="19.5" customHeight="1">
      <c r="B18" s="922">
        <f t="shared" si="0"/>
        <v>25</v>
      </c>
      <c r="C18" s="287" t="s">
        <v>150</v>
      </c>
      <c r="D18" s="275"/>
      <c r="E18" s="275"/>
      <c r="F18" s="517">
        <v>30</v>
      </c>
      <c r="G18" s="358" t="s">
        <v>221</v>
      </c>
      <c r="H18" s="301" t="s">
        <v>151</v>
      </c>
      <c r="I18" s="302"/>
      <c r="J18" s="302"/>
      <c r="K18" s="517">
        <v>550</v>
      </c>
      <c r="L18" s="361" t="s">
        <v>223</v>
      </c>
      <c r="M18" s="7"/>
    </row>
    <row r="19" spans="2:13" ht="19.5" customHeight="1">
      <c r="B19" s="922">
        <f t="shared" si="0"/>
        <v>26</v>
      </c>
      <c r="C19" s="287" t="s">
        <v>152</v>
      </c>
      <c r="D19" s="275"/>
      <c r="E19" s="275"/>
      <c r="F19" s="517">
        <v>50</v>
      </c>
      <c r="G19" s="358" t="s">
        <v>221</v>
      </c>
      <c r="H19" s="303" t="s">
        <v>153</v>
      </c>
      <c r="I19" s="304"/>
      <c r="J19" s="304"/>
      <c r="K19" s="521">
        <v>2800</v>
      </c>
      <c r="L19" s="364" t="s">
        <v>140</v>
      </c>
      <c r="M19" s="7"/>
    </row>
    <row r="20" spans="2:13" ht="19.5" customHeight="1">
      <c r="B20" s="922">
        <f t="shared" si="0"/>
        <v>27</v>
      </c>
      <c r="C20" s="287" t="s">
        <v>154</v>
      </c>
      <c r="D20" s="275"/>
      <c r="E20" s="275"/>
      <c r="F20" s="517">
        <v>100</v>
      </c>
      <c r="G20" s="358" t="s">
        <v>221</v>
      </c>
      <c r="H20" s="305"/>
      <c r="I20" s="306"/>
      <c r="J20" s="306"/>
      <c r="K20" s="306"/>
      <c r="L20" s="307"/>
      <c r="M20" s="7"/>
    </row>
    <row r="21" spans="2:13" ht="19.5" customHeight="1">
      <c r="B21" s="922">
        <f t="shared" si="0"/>
        <v>28</v>
      </c>
      <c r="C21" s="287" t="s">
        <v>155</v>
      </c>
      <c r="D21" s="275"/>
      <c r="E21" s="275"/>
      <c r="F21" s="517">
        <v>150</v>
      </c>
      <c r="G21" s="358" t="s">
        <v>221</v>
      </c>
      <c r="H21" s="308"/>
      <c r="I21" s="309"/>
      <c r="J21" s="309"/>
      <c r="K21" s="309"/>
      <c r="L21" s="307"/>
      <c r="M21" s="7"/>
    </row>
    <row r="22" spans="2:14" ht="19.5" customHeight="1">
      <c r="B22" s="922">
        <f t="shared" si="0"/>
        <v>29</v>
      </c>
      <c r="C22" s="287" t="s">
        <v>156</v>
      </c>
      <c r="D22" s="275"/>
      <c r="E22" s="275"/>
      <c r="F22" s="517">
        <v>30</v>
      </c>
      <c r="G22" s="358" t="s">
        <v>221</v>
      </c>
      <c r="H22" s="308"/>
      <c r="I22" s="309"/>
      <c r="J22" s="309"/>
      <c r="K22" s="309"/>
      <c r="L22" s="307"/>
      <c r="M22" s="7"/>
      <c r="N22" s="276"/>
    </row>
    <row r="23" spans="2:14" ht="19.5" customHeight="1">
      <c r="B23" s="922">
        <f t="shared" si="0"/>
        <v>30</v>
      </c>
      <c r="C23" s="100" t="s">
        <v>157</v>
      </c>
      <c r="D23" s="277"/>
      <c r="E23" s="277"/>
      <c r="F23" s="290">
        <f>IF(Betriebsdaten!D59=2,(K16+K12+E6)/2*Betriebsdaten!H42%,IF(Betriebsdaten!D59=3,(K16+K13+E6)/2*Betriebsdaten!H42%,0))</f>
        <v>55</v>
      </c>
      <c r="G23" s="365" t="s">
        <v>221</v>
      </c>
      <c r="H23" s="308"/>
      <c r="I23" s="309"/>
      <c r="J23" s="309"/>
      <c r="K23" s="310"/>
      <c r="L23" s="307"/>
      <c r="M23" s="7"/>
      <c r="N23" s="276"/>
    </row>
    <row r="24" spans="2:14" ht="21.75" customHeight="1" thickBot="1">
      <c r="B24" s="923">
        <f>B23+1</f>
        <v>31</v>
      </c>
      <c r="C24" s="311" t="s">
        <v>158</v>
      </c>
      <c r="D24" s="295"/>
      <c r="E24" s="295"/>
      <c r="F24" s="278">
        <f>SUM(F15:F23)</f>
        <v>915</v>
      </c>
      <c r="G24" s="359" t="s">
        <v>221</v>
      </c>
      <c r="H24" s="312"/>
      <c r="I24" s="313"/>
      <c r="J24" s="313"/>
      <c r="K24" s="313"/>
      <c r="L24" s="314"/>
      <c r="M24" s="7"/>
      <c r="N24" s="276"/>
    </row>
    <row r="25" spans="1:14" ht="27" customHeight="1">
      <c r="A25" s="268"/>
      <c r="B25" s="924">
        <f>B24+1</f>
        <v>32</v>
      </c>
      <c r="C25" s="294" t="s">
        <v>271</v>
      </c>
      <c r="D25" s="315"/>
      <c r="E25" s="315"/>
      <c r="F25" s="316">
        <f>F26+F23</f>
        <v>-106.42857142857144</v>
      </c>
      <c r="G25" s="366" t="s">
        <v>221</v>
      </c>
      <c r="H25" s="538"/>
      <c r="I25" s="539"/>
      <c r="J25" s="539"/>
      <c r="K25" s="317">
        <f>IF(K5=0,0,F25/K5)</f>
        <v>0</v>
      </c>
      <c r="L25" s="368" t="s">
        <v>218</v>
      </c>
      <c r="M25" s="7"/>
      <c r="N25" s="276"/>
    </row>
    <row r="26" spans="2:14" ht="27" customHeight="1" thickBot="1">
      <c r="B26" s="925">
        <f>B25+1</f>
        <v>33</v>
      </c>
      <c r="C26" s="311" t="s">
        <v>272</v>
      </c>
      <c r="D26" s="318"/>
      <c r="E26" s="318"/>
      <c r="F26" s="319">
        <f>F14-F24</f>
        <v>-161.42857142857144</v>
      </c>
      <c r="G26" s="367" t="s">
        <v>221</v>
      </c>
      <c r="H26" s="320"/>
      <c r="I26" s="321"/>
      <c r="J26" s="321"/>
      <c r="K26" s="322">
        <f>IF(K5=0,0,F26/K5)</f>
        <v>0</v>
      </c>
      <c r="L26" s="369" t="s">
        <v>218</v>
      </c>
      <c r="M26" s="7"/>
      <c r="N26" s="276"/>
    </row>
    <row r="27" spans="4:11" ht="30" customHeight="1" thickBot="1">
      <c r="D27" s="270"/>
      <c r="E27" s="271"/>
      <c r="F27" s="271"/>
      <c r="G27" s="271"/>
      <c r="H27" s="281"/>
      <c r="I27" s="282"/>
      <c r="J27" s="282"/>
      <c r="K27" s="282"/>
    </row>
    <row r="28" spans="1:12" ht="19.5" customHeight="1">
      <c r="A28" s="268"/>
      <c r="B28" s="552"/>
      <c r="C28" s="385" t="s">
        <v>159</v>
      </c>
      <c r="D28" s="323"/>
      <c r="E28" s="323"/>
      <c r="F28" s="323"/>
      <c r="G28" s="323"/>
      <c r="H28" s="324"/>
      <c r="I28" s="248" t="s">
        <v>160</v>
      </c>
      <c r="J28" s="249"/>
      <c r="K28" s="248" t="s">
        <v>161</v>
      </c>
      <c r="L28" s="250"/>
    </row>
    <row r="29" spans="2:14" ht="19.5" customHeight="1" thickBot="1">
      <c r="B29" s="352"/>
      <c r="C29" s="386" t="s">
        <v>162</v>
      </c>
      <c r="D29" s="325"/>
      <c r="E29" s="325"/>
      <c r="F29" s="325"/>
      <c r="G29" s="325"/>
      <c r="H29" s="413"/>
      <c r="I29" s="252"/>
      <c r="J29" s="253"/>
      <c r="K29" s="254" t="s">
        <v>163</v>
      </c>
      <c r="L29" s="255"/>
      <c r="M29" s="276"/>
      <c r="N29" s="276"/>
    </row>
    <row r="30" spans="2:14" ht="21.75" customHeight="1">
      <c r="B30" s="926">
        <f>B26+1</f>
        <v>34</v>
      </c>
      <c r="C30" s="326" t="s">
        <v>164</v>
      </c>
      <c r="D30" s="327"/>
      <c r="E30" s="327"/>
      <c r="F30" s="328"/>
      <c r="G30" s="328"/>
      <c r="H30" s="115"/>
      <c r="I30" s="329">
        <f>K30*1000</f>
        <v>330</v>
      </c>
      <c r="J30" s="365" t="s">
        <v>221</v>
      </c>
      <c r="K30" s="330">
        <f>(E5)/100</f>
        <v>0.33</v>
      </c>
      <c r="L30" s="370" t="s">
        <v>218</v>
      </c>
      <c r="M30" s="276"/>
      <c r="N30" s="276"/>
    </row>
    <row r="31" spans="2:14" ht="21.75" customHeight="1">
      <c r="B31" s="926">
        <f aca="true" t="shared" si="1" ref="B31:B38">B30+1</f>
        <v>35</v>
      </c>
      <c r="C31" s="326" t="s">
        <v>165</v>
      </c>
      <c r="D31" s="298"/>
      <c r="E31" s="327"/>
      <c r="F31" s="327"/>
      <c r="G31" s="331"/>
      <c r="H31" s="7"/>
      <c r="I31" s="332"/>
      <c r="J31" s="333"/>
      <c r="K31" s="332"/>
      <c r="L31" s="334"/>
      <c r="N31" s="276"/>
    </row>
    <row r="32" spans="2:12" ht="19.5" customHeight="1">
      <c r="B32" s="927">
        <f t="shared" si="1"/>
        <v>36</v>
      </c>
      <c r="C32" s="335" t="s">
        <v>166</v>
      </c>
      <c r="D32" s="335"/>
      <c r="E32" s="335"/>
      <c r="F32" s="540"/>
      <c r="G32" s="522">
        <v>0.5</v>
      </c>
      <c r="H32" s="381" t="s">
        <v>167</v>
      </c>
      <c r="I32" s="336">
        <f>(G32*1000*K17/100)</f>
        <v>110</v>
      </c>
      <c r="J32" s="371" t="s">
        <v>221</v>
      </c>
      <c r="K32" s="338">
        <f>G32*K17/100</f>
        <v>0.11</v>
      </c>
      <c r="L32" s="375" t="s">
        <v>218</v>
      </c>
    </row>
    <row r="33" spans="2:14" ht="19.5" customHeight="1">
      <c r="B33" s="928">
        <f t="shared" si="1"/>
        <v>37</v>
      </c>
      <c r="C33" s="275" t="s">
        <v>168</v>
      </c>
      <c r="D33" s="275"/>
      <c r="E33" s="275"/>
      <c r="F33" s="7"/>
      <c r="G33" s="523">
        <v>2</v>
      </c>
      <c r="H33" s="382" t="s">
        <v>169</v>
      </c>
      <c r="I33" s="339"/>
      <c r="J33" s="372"/>
      <c r="K33" s="340"/>
      <c r="L33" s="376"/>
      <c r="M33" s="341" t="s">
        <v>170</v>
      </c>
      <c r="N33" s="342" t="s">
        <v>171</v>
      </c>
    </row>
    <row r="34" spans="2:14" ht="19.5" customHeight="1">
      <c r="B34" s="927">
        <f t="shared" si="1"/>
        <v>38</v>
      </c>
      <c r="C34" s="343" t="s">
        <v>172</v>
      </c>
      <c r="D34" s="337"/>
      <c r="E34" s="337"/>
      <c r="F34" s="344"/>
      <c r="G34" s="523">
        <v>25</v>
      </c>
      <c r="H34" s="383" t="s">
        <v>225</v>
      </c>
      <c r="I34" s="549">
        <f>IF(Betriebsdaten!D59=2,'DB-Milchvieh'!M34,IF(Betriebsdaten!D59=3,'DB-Milchvieh'!N34,0))</f>
        <v>16.071428571428584</v>
      </c>
      <c r="J34" s="371" t="s">
        <v>221</v>
      </c>
      <c r="K34" s="338">
        <f>I34/1000</f>
        <v>0.016071428571428584</v>
      </c>
      <c r="L34" s="375" t="s">
        <v>218</v>
      </c>
      <c r="M34" s="345">
        <f>IF(K4=0,0,($K$16+$G$34-K12-$E$6)/($K$4-$G$33/12)-(($K$16-K12-$E$6)/$K$4))</f>
        <v>16.071428571428584</v>
      </c>
      <c r="N34" s="346">
        <f>IF(K4=0,0,($K$16+$G$34-K13-$E$6)/($K$4-$G$33/12)-(($K$16-K13-$E$6)/$K$4))</f>
        <v>18.928571428571416</v>
      </c>
    </row>
    <row r="35" spans="2:12" ht="19.5" customHeight="1">
      <c r="B35" s="929">
        <f t="shared" si="1"/>
        <v>39</v>
      </c>
      <c r="C35" s="277" t="s">
        <v>245</v>
      </c>
      <c r="D35" s="277"/>
      <c r="E35" s="277"/>
      <c r="F35" s="277"/>
      <c r="G35" s="277"/>
      <c r="H35" s="115"/>
      <c r="I35" s="524">
        <v>15</v>
      </c>
      <c r="J35" s="365" t="s">
        <v>221</v>
      </c>
      <c r="K35" s="347">
        <f>I35/1000</f>
        <v>0.015</v>
      </c>
      <c r="L35" s="370" t="s">
        <v>218</v>
      </c>
    </row>
    <row r="36" spans="2:12" ht="21.75" customHeight="1" thickBot="1">
      <c r="B36" s="930">
        <f t="shared" si="1"/>
        <v>40</v>
      </c>
      <c r="C36" s="348" t="s">
        <v>173</v>
      </c>
      <c r="D36" s="349"/>
      <c r="E36" s="349"/>
      <c r="F36" s="349"/>
      <c r="G36" s="349"/>
      <c r="H36" s="349"/>
      <c r="I36" s="350">
        <f>SUM(I32:I35)</f>
        <v>141.07142857142858</v>
      </c>
      <c r="J36" s="358" t="s">
        <v>221</v>
      </c>
      <c r="K36" s="351">
        <f>SUM(K32:K35)</f>
        <v>0.14107142857142857</v>
      </c>
      <c r="L36" s="377" t="s">
        <v>218</v>
      </c>
    </row>
    <row r="37" spans="2:14" ht="27" customHeight="1" thickBot="1">
      <c r="B37" s="931">
        <f t="shared" si="1"/>
        <v>41</v>
      </c>
      <c r="C37" s="256" t="s">
        <v>174</v>
      </c>
      <c r="D37" s="257"/>
      <c r="E37" s="257"/>
      <c r="F37" s="258"/>
      <c r="G37" s="259"/>
      <c r="H37" s="247"/>
      <c r="I37" s="260">
        <f>I30-I36</f>
        <v>188.92857142857142</v>
      </c>
      <c r="J37" s="373" t="s">
        <v>221</v>
      </c>
      <c r="K37" s="261">
        <f>K30-K36</f>
        <v>0.18892857142857145</v>
      </c>
      <c r="L37" s="378" t="s">
        <v>218</v>
      </c>
      <c r="M37" s="276"/>
      <c r="N37" s="276"/>
    </row>
    <row r="38" spans="2:14" ht="27" customHeight="1" thickBot="1">
      <c r="B38" s="932">
        <f t="shared" si="1"/>
        <v>42</v>
      </c>
      <c r="C38" s="262" t="s">
        <v>246</v>
      </c>
      <c r="D38" s="251"/>
      <c r="E38" s="251"/>
      <c r="F38" s="263"/>
      <c r="G38" s="264"/>
      <c r="H38" s="265"/>
      <c r="I38" s="266">
        <f>I37-I40</f>
        <v>188.92857142857142</v>
      </c>
      <c r="J38" s="374" t="s">
        <v>221</v>
      </c>
      <c r="K38" s="267">
        <f>K37-K40</f>
        <v>0.18892857142857145</v>
      </c>
      <c r="L38" s="379" t="s">
        <v>218</v>
      </c>
      <c r="M38" s="276"/>
      <c r="N38" s="276"/>
    </row>
    <row r="39" ht="30" customHeight="1">
      <c r="J39" s="353"/>
    </row>
    <row r="40" spans="2:12" ht="19.5" customHeight="1" hidden="1">
      <c r="B40" s="541"/>
      <c r="C40" s="294" t="s">
        <v>175</v>
      </c>
      <c r="D40" s="354"/>
      <c r="E40" s="354"/>
      <c r="F40" s="354"/>
      <c r="G40" s="354"/>
      <c r="H40" s="354"/>
      <c r="I40" s="355">
        <f>K40*1000</f>
        <v>0</v>
      </c>
      <c r="J40" s="359" t="s">
        <v>221</v>
      </c>
      <c r="K40" s="356">
        <f>ABS(Betriebsdaten!P40)</f>
        <v>0</v>
      </c>
      <c r="L40" s="380" t="s">
        <v>218</v>
      </c>
    </row>
    <row r="41" ht="19.5" customHeight="1"/>
    <row r="42" ht="12.75">
      <c r="A42" s="268"/>
    </row>
    <row r="44" spans="6:7" ht="12.75">
      <c r="F44" s="7"/>
      <c r="G44" s="7"/>
    </row>
  </sheetData>
  <sheetProtection password="9339" sheet="1" objects="1"/>
  <printOptions horizontalCentered="1"/>
  <pageMargins left="0.45" right="0.5905511811023623" top="0.5905511811023623" bottom="0.5905511811023623" header="0.1968503937007874" footer="0.1968503937007874"/>
  <pageSetup horizontalDpi="300" verticalDpi="300" orientation="portrait" paperSize="9" scale="87" r:id="rId4"/>
  <headerFooter alignWithMargins="0">
    <oddFooter>&amp;L&amp;8LEL Schwäbisch Gmünd 
Abt. 2&amp;C&amp;8&amp;F
&amp;A&amp;R&amp;8&amp;D
&amp;"Arial,Fett"&amp;12Seite &amp;P</oddFooter>
  </headerFooter>
  <rowBreaks count="1" manualBreakCount="1">
    <brk id="42" max="655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/>
  <dimension ref="A1:Z264"/>
  <sheetViews>
    <sheetView showGridLines="0" showZeros="0" tabSelected="1" workbookViewId="0" topLeftCell="B1">
      <pane xSplit="1" ySplit="8" topLeftCell="C9" activePane="bottomRight" state="frozen"/>
      <selection pane="topLeft" activeCell="F72" sqref="F72"/>
      <selection pane="topRight" activeCell="F72" sqref="F72"/>
      <selection pane="bottomLeft" activeCell="F72" sqref="F72"/>
      <selection pane="bottomRight" activeCell="J11" sqref="J11"/>
    </sheetView>
  </sheetViews>
  <sheetFormatPr defaultColWidth="11.421875" defaultRowHeight="12.75"/>
  <cols>
    <col min="1" max="1" width="3.7109375" style="0" hidden="1" customWidth="1"/>
    <col min="2" max="2" width="2.8515625" style="825" customWidth="1"/>
    <col min="3" max="3" width="19.8515625" style="0" customWidth="1"/>
    <col min="4" max="5" width="12.7109375" style="0" customWidth="1"/>
    <col min="6" max="9" width="5.421875" style="0" customWidth="1"/>
    <col min="10" max="10" width="10.7109375" style="826" customWidth="1"/>
    <col min="11" max="12" width="7.7109375" style="826" customWidth="1"/>
    <col min="13" max="13" width="10.7109375" style="826" customWidth="1"/>
    <col min="14" max="14" width="4.7109375" style="0" customWidth="1"/>
    <col min="15" max="15" width="3.7109375" style="0" customWidth="1"/>
    <col min="16" max="16" width="10.7109375" style="0" customWidth="1"/>
    <col min="17" max="17" width="5.57421875" style="0" customWidth="1"/>
    <col min="18" max="18" width="4.8515625" style="0" customWidth="1"/>
    <col min="20" max="22" width="12.00390625" style="0" hidden="1" customWidth="1"/>
    <col min="23" max="25" width="0" style="0" hidden="1" customWidth="1"/>
    <col min="26" max="26" width="3.421875" style="0" hidden="1" customWidth="1"/>
    <col min="27" max="27" width="32.28125" style="0" customWidth="1"/>
  </cols>
  <sheetData>
    <row r="1" spans="2:17" ht="1.5" customHeight="1">
      <c r="B1" s="899"/>
      <c r="C1" s="900"/>
      <c r="D1" s="900"/>
      <c r="E1" s="900"/>
      <c r="F1" s="900"/>
      <c r="G1" s="900"/>
      <c r="H1" s="900"/>
      <c r="I1" s="900"/>
      <c r="J1" s="901"/>
      <c r="K1" s="901"/>
      <c r="L1" s="901"/>
      <c r="M1" s="902"/>
      <c r="N1" s="626"/>
      <c r="P1" s="630"/>
      <c r="Q1" s="630"/>
    </row>
    <row r="2" spans="2:17" ht="3.75" customHeight="1">
      <c r="B2" s="634"/>
      <c r="C2" s="635"/>
      <c r="D2" s="635"/>
      <c r="E2" s="635"/>
      <c r="F2" s="631"/>
      <c r="G2" s="631"/>
      <c r="H2" s="631"/>
      <c r="I2" s="631"/>
      <c r="J2" s="636"/>
      <c r="K2" s="636"/>
      <c r="L2" s="636"/>
      <c r="M2" s="633"/>
      <c r="N2" s="637"/>
      <c r="P2" s="630"/>
      <c r="Q2" s="631"/>
    </row>
    <row r="3" spans="2:20" ht="18" customHeight="1">
      <c r="B3" s="1047"/>
      <c r="C3" s="638" t="s">
        <v>383</v>
      </c>
      <c r="D3" s="639"/>
      <c r="E3" s="640"/>
      <c r="F3" s="629"/>
      <c r="G3" s="629"/>
      <c r="H3" s="641"/>
      <c r="I3" s="641"/>
      <c r="J3" s="642" t="s">
        <v>409</v>
      </c>
      <c r="K3" s="643" t="s">
        <v>410</v>
      </c>
      <c r="L3" s="644" t="s">
        <v>410</v>
      </c>
      <c r="M3" s="645" t="s">
        <v>411</v>
      </c>
      <c r="N3" s="1197" t="s">
        <v>412</v>
      </c>
      <c r="O3" s="646" t="s">
        <v>413</v>
      </c>
      <c r="Q3" s="630"/>
      <c r="T3" t="s">
        <v>414</v>
      </c>
    </row>
    <row r="4" spans="2:25" ht="12.75" customHeight="1">
      <c r="B4" s="1048"/>
      <c r="C4" s="877"/>
      <c r="D4" s="1003"/>
      <c r="E4" s="1003"/>
      <c r="F4" s="647"/>
      <c r="G4" s="647"/>
      <c r="H4" s="647"/>
      <c r="I4" s="647"/>
      <c r="J4" s="648" t="s">
        <v>415</v>
      </c>
      <c r="K4" s="649" t="s">
        <v>411</v>
      </c>
      <c r="L4" s="650" t="s">
        <v>416</v>
      </c>
      <c r="M4" s="651" t="s">
        <v>417</v>
      </c>
      <c r="N4" s="1198"/>
      <c r="O4" s="892">
        <v>19</v>
      </c>
      <c r="P4" s="646" t="s">
        <v>418</v>
      </c>
      <c r="Q4" s="630"/>
      <c r="T4" t="s">
        <v>419</v>
      </c>
      <c r="Y4" t="s">
        <v>420</v>
      </c>
    </row>
    <row r="5" spans="2:25" ht="12.75" customHeight="1">
      <c r="B5" s="1049"/>
      <c r="C5" s="858"/>
      <c r="D5" s="1004"/>
      <c r="E5" s="1005"/>
      <c r="F5" s="1013"/>
      <c r="G5" s="1013"/>
      <c r="H5" s="652" t="s">
        <v>421</v>
      </c>
      <c r="I5" s="883"/>
      <c r="J5" s="653" t="s">
        <v>422</v>
      </c>
      <c r="K5" s="649" t="s">
        <v>417</v>
      </c>
      <c r="L5" s="650" t="s">
        <v>423</v>
      </c>
      <c r="M5" s="651" t="s">
        <v>423</v>
      </c>
      <c r="N5" s="1198"/>
      <c r="O5" s="892">
        <v>7</v>
      </c>
      <c r="P5" s="631" t="s">
        <v>424</v>
      </c>
      <c r="Q5" s="630"/>
      <c r="T5" t="s">
        <v>425</v>
      </c>
      <c r="U5" t="s">
        <v>426</v>
      </c>
      <c r="V5" t="s">
        <v>427</v>
      </c>
      <c r="Y5" t="s">
        <v>428</v>
      </c>
    </row>
    <row r="6" spans="2:22" ht="12.75" customHeight="1">
      <c r="B6" s="1049"/>
      <c r="C6" s="1006" t="s">
        <v>429</v>
      </c>
      <c r="D6" s="1007"/>
      <c r="E6" s="1008"/>
      <c r="F6" s="654" t="s">
        <v>430</v>
      </c>
      <c r="G6" s="654" t="s">
        <v>431</v>
      </c>
      <c r="H6" s="655" t="s">
        <v>432</v>
      </c>
      <c r="I6" s="883"/>
      <c r="J6" s="653" t="s">
        <v>433</v>
      </c>
      <c r="K6" s="656" t="s">
        <v>434</v>
      </c>
      <c r="L6" s="650" t="s">
        <v>435</v>
      </c>
      <c r="M6" s="651" t="s">
        <v>435</v>
      </c>
      <c r="N6" s="1198"/>
      <c r="T6" t="s">
        <v>436</v>
      </c>
      <c r="U6" t="s">
        <v>437</v>
      </c>
      <c r="V6" t="s">
        <v>438</v>
      </c>
    </row>
    <row r="7" spans="2:21" ht="12.75" customHeight="1">
      <c r="B7" s="1050"/>
      <c r="C7" s="1003"/>
      <c r="D7" s="1003"/>
      <c r="E7" s="1009"/>
      <c r="F7" s="1010"/>
      <c r="G7" s="1010"/>
      <c r="H7" s="1011" t="s">
        <v>439</v>
      </c>
      <c r="I7" s="1012" t="s">
        <v>440</v>
      </c>
      <c r="J7" s="657" t="s">
        <v>441</v>
      </c>
      <c r="K7" s="658" t="s">
        <v>441</v>
      </c>
      <c r="L7" s="659" t="s">
        <v>441</v>
      </c>
      <c r="M7" s="660" t="s">
        <v>441</v>
      </c>
      <c r="N7" s="1198"/>
      <c r="O7" s="630"/>
      <c r="P7" s="630"/>
      <c r="Q7" s="661"/>
      <c r="T7" t="s">
        <v>442</v>
      </c>
      <c r="U7" t="s">
        <v>443</v>
      </c>
    </row>
    <row r="8" spans="2:17" ht="3.75" customHeight="1">
      <c r="B8" s="1051"/>
      <c r="C8" s="1014"/>
      <c r="D8" s="1014"/>
      <c r="E8" s="1014"/>
      <c r="F8" s="631"/>
      <c r="G8" s="631"/>
      <c r="H8" s="631"/>
      <c r="I8" s="662"/>
      <c r="J8" s="663"/>
      <c r="K8" s="632"/>
      <c r="L8" s="632"/>
      <c r="M8" s="664"/>
      <c r="N8" s="628"/>
      <c r="O8" s="630"/>
      <c r="P8" s="630"/>
      <c r="Q8" s="665"/>
    </row>
    <row r="9" spans="1:26" s="666" customFormat="1" ht="15.75" customHeight="1">
      <c r="A9" s="666">
        <v>1</v>
      </c>
      <c r="B9" s="1052">
        <f>+'DB-Milchvieh'!B38+1</f>
        <v>43</v>
      </c>
      <c r="C9" s="1015" t="s">
        <v>444</v>
      </c>
      <c r="D9" s="1021"/>
      <c r="E9" s="1021"/>
      <c r="F9" s="669"/>
      <c r="G9" s="669"/>
      <c r="H9" s="669"/>
      <c r="I9" s="670"/>
      <c r="J9" s="669"/>
      <c r="K9" s="669"/>
      <c r="L9" s="669"/>
      <c r="M9" s="669"/>
      <c r="N9" s="671"/>
      <c r="O9" s="672"/>
      <c r="P9" s="672"/>
      <c r="Q9" s="673"/>
      <c r="Y9" s="674"/>
      <c r="Z9" s="674"/>
    </row>
    <row r="10" spans="1:26" s="666" customFormat="1" ht="26.25" customHeight="1">
      <c r="A10" s="666">
        <f>IF(SUM(J11:M14)&gt;0,1,0)</f>
        <v>0</v>
      </c>
      <c r="B10" s="1052">
        <f aca="true" t="shared" si="0" ref="B10:B59">+B9+1</f>
        <v>44</v>
      </c>
      <c r="C10" s="1016" t="s">
        <v>445</v>
      </c>
      <c r="D10" s="1201"/>
      <c r="E10" s="1201"/>
      <c r="F10" s="1202" t="s">
        <v>446</v>
      </c>
      <c r="G10" s="1203"/>
      <c r="H10" s="1203"/>
      <c r="I10" s="1204"/>
      <c r="J10" s="1031"/>
      <c r="K10" s="1032"/>
      <c r="L10" s="1033"/>
      <c r="M10" s="1034"/>
      <c r="N10" s="1035" t="s">
        <v>447</v>
      </c>
      <c r="O10" s="675"/>
      <c r="P10" s="676"/>
      <c r="T10" s="677"/>
      <c r="U10" s="677"/>
      <c r="V10" s="677"/>
      <c r="Y10" s="674">
        <v>1</v>
      </c>
      <c r="Z10" s="674" t="s">
        <v>448</v>
      </c>
    </row>
    <row r="11" spans="1:26" s="666" customFormat="1" ht="15" customHeight="1">
      <c r="A11" s="666">
        <f>IF(SUM(F11:M11)&gt;0,1,0)</f>
        <v>0</v>
      </c>
      <c r="B11" s="1052">
        <f t="shared" si="0"/>
        <v>45</v>
      </c>
      <c r="C11" s="678" t="s">
        <v>449</v>
      </c>
      <c r="D11" s="1007"/>
      <c r="E11" s="1007"/>
      <c r="F11" s="897"/>
      <c r="G11" s="691"/>
      <c r="H11" s="691"/>
      <c r="I11" s="695">
        <f>IF(G11-F11-H11&lt;0,0,G11-F11-H11)</f>
        <v>0</v>
      </c>
      <c r="J11" s="680"/>
      <c r="K11" s="681">
        <f>J11/(1+$O$4/100)*$O$4/100</f>
        <v>0</v>
      </c>
      <c r="L11" s="680"/>
      <c r="M11" s="682">
        <f>IF(J11=0,0,J11-K11-L11)</f>
        <v>0</v>
      </c>
      <c r="N11" s="683"/>
      <c r="O11" s="675"/>
      <c r="P11" s="676"/>
      <c r="T11" s="684">
        <f aca="true" t="shared" si="1" ref="T11:U13">IF($N11="a",$M11,0)</f>
        <v>0</v>
      </c>
      <c r="U11" s="684">
        <f t="shared" si="1"/>
        <v>0</v>
      </c>
      <c r="V11" s="677"/>
      <c r="Y11" s="674">
        <v>2</v>
      </c>
      <c r="Z11" s="674" t="s">
        <v>450</v>
      </c>
    </row>
    <row r="12" spans="1:26" s="666" customFormat="1" ht="15" customHeight="1">
      <c r="A12" s="666">
        <f>IF(SUM(F12:M12)&gt;0,1,0)</f>
        <v>0</v>
      </c>
      <c r="B12" s="1052">
        <f t="shared" si="0"/>
        <v>46</v>
      </c>
      <c r="C12" s="685" t="s">
        <v>451</v>
      </c>
      <c r="D12" s="1007"/>
      <c r="E12" s="1007"/>
      <c r="F12" s="898"/>
      <c r="G12" s="679"/>
      <c r="H12" s="679"/>
      <c r="I12" s="695">
        <f>IF(G12-F12-H12&lt;0,0,G12-F12-H12)</f>
        <v>0</v>
      </c>
      <c r="J12" s="680"/>
      <c r="K12" s="681">
        <f>J12/(1+$O$4/100)*$O$4/100</f>
        <v>0</v>
      </c>
      <c r="L12" s="680"/>
      <c r="M12" s="682">
        <f>IF(J12=0,0,J12-K12-L12)</f>
        <v>0</v>
      </c>
      <c r="N12" s="683"/>
      <c r="O12" s="675"/>
      <c r="P12" s="676"/>
      <c r="T12" s="684">
        <f t="shared" si="1"/>
        <v>0</v>
      </c>
      <c r="U12" s="684">
        <f t="shared" si="1"/>
        <v>0</v>
      </c>
      <c r="V12" s="677"/>
      <c r="Y12" s="674">
        <v>3</v>
      </c>
      <c r="Z12" s="674" t="s">
        <v>452</v>
      </c>
    </row>
    <row r="13" spans="1:26" s="666" customFormat="1" ht="15" customHeight="1">
      <c r="A13" s="666">
        <f>IF(SUM(F13:M13)&gt;0,1,0)</f>
        <v>0</v>
      </c>
      <c r="B13" s="1052">
        <f t="shared" si="0"/>
        <v>47</v>
      </c>
      <c r="C13" s="685" t="s">
        <v>453</v>
      </c>
      <c r="D13" s="1007"/>
      <c r="E13" s="1007"/>
      <c r="F13" s="898"/>
      <c r="G13" s="679"/>
      <c r="H13" s="679"/>
      <c r="I13" s="695">
        <f>IF(G13-F13-H13&lt;0,0,G13-F13-H13)</f>
        <v>0</v>
      </c>
      <c r="J13" s="680"/>
      <c r="K13" s="681">
        <f>J13/(1+$O$4/100)*$O$4/100</f>
        <v>0</v>
      </c>
      <c r="L13" s="680"/>
      <c r="M13" s="686">
        <f>IF(J13=0,0,J13-K13-L13)</f>
        <v>0</v>
      </c>
      <c r="N13" s="683"/>
      <c r="O13" s="675"/>
      <c r="P13" s="672"/>
      <c r="T13" s="684">
        <f t="shared" si="1"/>
        <v>0</v>
      </c>
      <c r="U13" s="684">
        <f t="shared" si="1"/>
        <v>0</v>
      </c>
      <c r="V13" s="677"/>
      <c r="Y13" s="674">
        <v>4</v>
      </c>
      <c r="Z13" s="674" t="s">
        <v>454</v>
      </c>
    </row>
    <row r="14" spans="1:26" s="666" customFormat="1" ht="15" customHeight="1">
      <c r="A14" s="666">
        <f>IF(SUM(F14:M14)&gt;0,1,0)</f>
        <v>0</v>
      </c>
      <c r="B14" s="1052">
        <f t="shared" si="0"/>
        <v>48</v>
      </c>
      <c r="C14" s="692"/>
      <c r="D14" s="1007"/>
      <c r="E14" s="1007"/>
      <c r="F14" s="1199"/>
      <c r="G14" s="1199"/>
      <c r="H14" s="1199"/>
      <c r="I14" s="1200"/>
      <c r="J14" s="1036"/>
      <c r="K14" s="1036"/>
      <c r="L14" s="1036"/>
      <c r="M14" s="1037"/>
      <c r="N14" s="933"/>
      <c r="P14" s="672"/>
      <c r="T14" s="677"/>
      <c r="U14" s="677"/>
      <c r="V14" s="677"/>
      <c r="Y14" s="674">
        <v>10</v>
      </c>
      <c r="Z14" s="674" t="s">
        <v>455</v>
      </c>
    </row>
    <row r="15" spans="1:25" s="666" customFormat="1" ht="15" customHeight="1">
      <c r="A15" s="666">
        <f>IF(SUM(F15:M19)&gt;0,1,0)</f>
        <v>0</v>
      </c>
      <c r="B15" s="1052">
        <f t="shared" si="0"/>
        <v>49</v>
      </c>
      <c r="C15" s="1017" t="s">
        <v>456</v>
      </c>
      <c r="D15" s="1007"/>
      <c r="E15" s="1007"/>
      <c r="F15" s="1025"/>
      <c r="G15" s="1025"/>
      <c r="H15" s="1025"/>
      <c r="I15" s="1027"/>
      <c r="J15" s="1038"/>
      <c r="K15" s="1038"/>
      <c r="L15" s="1038"/>
      <c r="M15" s="1039"/>
      <c r="N15" s="933"/>
      <c r="O15" s="675"/>
      <c r="P15" s="672"/>
      <c r="T15" s="677"/>
      <c r="U15" s="677"/>
      <c r="V15" s="677"/>
      <c r="Y15" s="696" t="s">
        <v>457</v>
      </c>
    </row>
    <row r="16" spans="1:25" s="666" customFormat="1" ht="15" customHeight="1">
      <c r="A16" s="666">
        <f>IF(SUM(F16:M16)&gt;0,1,0)</f>
        <v>0</v>
      </c>
      <c r="B16" s="1052">
        <f t="shared" si="0"/>
        <v>50</v>
      </c>
      <c r="C16" s="1018" t="s">
        <v>458</v>
      </c>
      <c r="D16" s="1022"/>
      <c r="E16" s="893" t="s">
        <v>565</v>
      </c>
      <c r="F16" s="897"/>
      <c r="G16" s="691"/>
      <c r="H16" s="691"/>
      <c r="I16" s="896">
        <f>G16-F16-H16</f>
        <v>0</v>
      </c>
      <c r="J16" s="680"/>
      <c r="K16" s="681">
        <f>J16/(1+$O$4/100)*$O$4/100</f>
        <v>0</v>
      </c>
      <c r="L16" s="697"/>
      <c r="M16" s="686">
        <f>IF(J16=0,0,J16-K16-L16)</f>
        <v>0</v>
      </c>
      <c r="N16" s="933"/>
      <c r="O16" s="675" t="s">
        <v>459</v>
      </c>
      <c r="P16" s="676"/>
      <c r="T16" s="684">
        <f>IF($N16="a",$M16,0)</f>
        <v>0</v>
      </c>
      <c r="U16" s="677"/>
      <c r="V16" s="677"/>
      <c r="Y16" s="696" t="s">
        <v>460</v>
      </c>
    </row>
    <row r="17" spans="1:22" s="666" customFormat="1" ht="15" customHeight="1">
      <c r="A17" s="666">
        <f>IF(SUM(F17:M17)&gt;0,1,0)</f>
        <v>0</v>
      </c>
      <c r="B17" s="1052">
        <f t="shared" si="0"/>
        <v>51</v>
      </c>
      <c r="C17" s="1018" t="s">
        <v>461</v>
      </c>
      <c r="D17" s="1022"/>
      <c r="E17" s="893" t="s">
        <v>565</v>
      </c>
      <c r="F17" s="898"/>
      <c r="G17" s="679"/>
      <c r="H17" s="679"/>
      <c r="I17" s="695">
        <f>G17-F17-H17</f>
        <v>0</v>
      </c>
      <c r="J17" s="680"/>
      <c r="K17" s="681">
        <f>J17/(1+$O$4/100)*$O$4/100</f>
        <v>0</v>
      </c>
      <c r="L17" s="697"/>
      <c r="M17" s="686">
        <f>IF(J17=0,0,J17-K17-L17)</f>
        <v>0</v>
      </c>
      <c r="N17" s="933"/>
      <c r="O17" s="675" t="s">
        <v>462</v>
      </c>
      <c r="P17" s="676"/>
      <c r="T17" s="684">
        <f>IF($N17="a",$M17,0)</f>
        <v>0</v>
      </c>
      <c r="U17" s="677"/>
      <c r="V17" s="677"/>
    </row>
    <row r="18" spans="1:22" s="666" customFormat="1" ht="15" customHeight="1">
      <c r="A18" s="666">
        <f>IF(SUM(F18:M18)&gt;0,1,0)</f>
        <v>0</v>
      </c>
      <c r="B18" s="1052">
        <f t="shared" si="0"/>
        <v>52</v>
      </c>
      <c r="C18" s="1019" t="s">
        <v>463</v>
      </c>
      <c r="D18" s="1023" t="s">
        <v>464</v>
      </c>
      <c r="E18" s="893" t="s">
        <v>565</v>
      </c>
      <c r="F18" s="898"/>
      <c r="G18" s="679"/>
      <c r="H18" s="679"/>
      <c r="I18" s="695">
        <f>G18-F18-H18</f>
        <v>0</v>
      </c>
      <c r="J18" s="680"/>
      <c r="K18" s="681">
        <f>J18/(1+$O$4/100)*$O$4/100</f>
        <v>0</v>
      </c>
      <c r="L18" s="697"/>
      <c r="M18" s="686">
        <f>IF(J18=0,0,J18-K18-L18)</f>
        <v>0</v>
      </c>
      <c r="N18" s="933"/>
      <c r="O18" s="675"/>
      <c r="P18" s="676"/>
      <c r="T18" s="684">
        <f>IF($N18="a",$M18,0)</f>
        <v>0</v>
      </c>
      <c r="U18" s="677"/>
      <c r="V18" s="677"/>
    </row>
    <row r="19" spans="1:22" s="666" customFormat="1" ht="15" customHeight="1">
      <c r="A19" s="666">
        <f>IF(SUM(F19:M19)&gt;0,1,0)</f>
        <v>0</v>
      </c>
      <c r="B19" s="1052">
        <f t="shared" si="0"/>
        <v>53</v>
      </c>
      <c r="C19" s="1020" t="s">
        <v>465</v>
      </c>
      <c r="D19" s="1024" t="s">
        <v>466</v>
      </c>
      <c r="E19" s="894" t="s">
        <v>467</v>
      </c>
      <c r="F19" s="910"/>
      <c r="G19" s="687"/>
      <c r="H19" s="687"/>
      <c r="I19" s="895">
        <f>G19-F19-H19</f>
        <v>0</v>
      </c>
      <c r="J19" s="680"/>
      <c r="K19" s="681">
        <f>J19/(1+$O$4/100)*$O$4/100</f>
        <v>0</v>
      </c>
      <c r="L19" s="697"/>
      <c r="M19" s="686">
        <f>IF(J19=0,0,J19-K19-L19)</f>
        <v>0</v>
      </c>
      <c r="N19" s="933"/>
      <c r="O19" s="675"/>
      <c r="P19" s="676"/>
      <c r="T19" s="684">
        <f>IF($N19="a",$M19,0)</f>
        <v>0</v>
      </c>
      <c r="U19" s="677"/>
      <c r="V19" s="677"/>
    </row>
    <row r="20" spans="1:22" s="666" customFormat="1" ht="15" customHeight="1">
      <c r="A20" s="666">
        <v>1</v>
      </c>
      <c r="B20" s="1052">
        <f t="shared" si="0"/>
        <v>54</v>
      </c>
      <c r="C20" s="1017"/>
      <c r="D20" s="1025"/>
      <c r="E20" s="1025"/>
      <c r="F20" s="1025"/>
      <c r="G20" s="1026"/>
      <c r="H20" s="1025"/>
      <c r="I20" s="1025"/>
      <c r="J20" s="1028"/>
      <c r="K20" s="1029"/>
      <c r="L20" s="1029"/>
      <c r="M20" s="1030"/>
      <c r="N20" s="933"/>
      <c r="O20"/>
      <c r="P20" s="672"/>
      <c r="T20" s="698"/>
      <c r="U20" s="677"/>
      <c r="V20" s="677"/>
    </row>
    <row r="21" spans="1:22" s="666" customFormat="1" ht="15" customHeight="1">
      <c r="A21" s="666">
        <f>IF(SUM(F21:M21)&gt;0,1,0)</f>
        <v>0</v>
      </c>
      <c r="B21" s="1052">
        <f t="shared" si="0"/>
        <v>55</v>
      </c>
      <c r="C21" s="692" t="s">
        <v>468</v>
      </c>
      <c r="D21" s="94"/>
      <c r="E21" s="690"/>
      <c r="F21" s="232"/>
      <c r="G21" s="690"/>
      <c r="H21" s="232"/>
      <c r="I21" s="700"/>
      <c r="J21" s="680"/>
      <c r="K21" s="682">
        <f>J21/(1+$O$4/100)*$O$4/100</f>
        <v>0</v>
      </c>
      <c r="L21" s="697"/>
      <c r="M21" s="682">
        <f>IF(J21=0,0,J21-K21-L21)</f>
        <v>0</v>
      </c>
      <c r="N21" s="934"/>
      <c r="T21" s="684">
        <f>IF($N21="a",$M21,0)</f>
        <v>0</v>
      </c>
      <c r="U21" s="677"/>
      <c r="V21" s="677"/>
    </row>
    <row r="22" spans="1:14" s="666" customFormat="1" ht="15" customHeight="1">
      <c r="A22" s="666">
        <f>IF(SUM(F22:M22)&gt;0,1,0)</f>
        <v>0</v>
      </c>
      <c r="B22" s="1052">
        <f t="shared" si="0"/>
        <v>56</v>
      </c>
      <c r="C22" s="703" t="s">
        <v>469</v>
      </c>
      <c r="D22" s="704"/>
      <c r="E22" s="690"/>
      <c r="F22" s="232"/>
      <c r="G22" s="690"/>
      <c r="H22" s="705"/>
      <c r="I22" s="706"/>
      <c r="J22" s="680"/>
      <c r="K22" s="682">
        <f>J22/(1+$O$4/100)*$O$4/100</f>
        <v>0</v>
      </c>
      <c r="L22" s="680"/>
      <c r="M22" s="682">
        <f>IF(J22=0,0,J22-K22-L22)</f>
        <v>0</v>
      </c>
      <c r="N22" s="934"/>
    </row>
    <row r="23" spans="1:22" s="666" customFormat="1" ht="15" customHeight="1">
      <c r="A23" s="666">
        <f>IF(SUM(F23:M23)&gt;0,1,0)</f>
        <v>0</v>
      </c>
      <c r="B23" s="1052">
        <f t="shared" si="0"/>
        <v>57</v>
      </c>
      <c r="C23" s="692" t="s">
        <v>470</v>
      </c>
      <c r="D23" s="94"/>
      <c r="E23" s="690"/>
      <c r="F23" s="232"/>
      <c r="G23" s="690"/>
      <c r="H23" s="232"/>
      <c r="I23" s="700"/>
      <c r="J23" s="680"/>
      <c r="K23" s="682">
        <f>J23/(1+$O$4/100)*$O$4/100</f>
        <v>0</v>
      </c>
      <c r="L23" s="697"/>
      <c r="M23" s="682">
        <f>IF(J23=0,0,J23-K23-L23)</f>
        <v>0</v>
      </c>
      <c r="N23" s="934"/>
      <c r="O23" s="707"/>
      <c r="T23" s="684">
        <f>IF($N23="a",$M23,0)</f>
        <v>0</v>
      </c>
      <c r="U23" s="677"/>
      <c r="V23" s="677"/>
    </row>
    <row r="24" spans="1:22" s="666" customFormat="1" ht="15" customHeight="1">
      <c r="A24" s="666">
        <f>IF(SUM(F24:M24)&gt;0,1,0)</f>
        <v>0</v>
      </c>
      <c r="B24" s="1052">
        <f t="shared" si="0"/>
        <v>58</v>
      </c>
      <c r="C24" s="701"/>
      <c r="D24" s="1025"/>
      <c r="E24" s="1025"/>
      <c r="F24" s="1025"/>
      <c r="G24" s="702"/>
      <c r="H24" s="1025"/>
      <c r="I24" s="1027"/>
      <c r="J24" s="680"/>
      <c r="K24" s="708">
        <f>J24/(1+$O$4/100)*$O$4/100</f>
        <v>0</v>
      </c>
      <c r="L24" s="709"/>
      <c r="M24" s="708">
        <f>IF(J24=0,0,J24-K24-L24)</f>
        <v>0</v>
      </c>
      <c r="N24" s="935"/>
      <c r="O24" s="675"/>
      <c r="T24" s="677"/>
      <c r="U24" s="677"/>
      <c r="V24" s="677"/>
    </row>
    <row r="25" spans="1:20" s="666" customFormat="1" ht="15" customHeight="1">
      <c r="A25" s="666">
        <v>1</v>
      </c>
      <c r="B25" s="1052">
        <f t="shared" si="0"/>
        <v>59</v>
      </c>
      <c r="C25" s="710" t="s">
        <v>471</v>
      </c>
      <c r="D25" s="711"/>
      <c r="E25" s="712"/>
      <c r="F25" s="712"/>
      <c r="G25" s="712"/>
      <c r="H25" s="712"/>
      <c r="I25" s="711"/>
      <c r="J25" s="713">
        <f>SUM(J10:J24)</f>
        <v>0</v>
      </c>
      <c r="K25" s="713">
        <f>SUM(K10:K24)</f>
        <v>0</v>
      </c>
      <c r="L25" s="714">
        <f>SUM(L10:L24)</f>
        <v>0</v>
      </c>
      <c r="M25" s="713">
        <f>SUM(M10:M24)</f>
        <v>0</v>
      </c>
      <c r="N25" s="1040"/>
      <c r="Q25" s="715"/>
      <c r="T25" s="677"/>
    </row>
    <row r="26" spans="1:22" s="666" customFormat="1" ht="15" customHeight="1">
      <c r="A26" s="666">
        <v>1</v>
      </c>
      <c r="B26" s="1052">
        <f t="shared" si="0"/>
        <v>60</v>
      </c>
      <c r="C26" s="668" t="s">
        <v>472</v>
      </c>
      <c r="D26" s="669"/>
      <c r="E26" s="669"/>
      <c r="F26" s="669"/>
      <c r="G26" s="669"/>
      <c r="H26" s="669"/>
      <c r="I26" s="670"/>
      <c r="J26" s="716"/>
      <c r="K26" s="716"/>
      <c r="L26" s="716"/>
      <c r="M26" s="716"/>
      <c r="N26" s="671"/>
      <c r="O26" s="707"/>
      <c r="Q26" s="707"/>
      <c r="T26" s="677"/>
      <c r="U26" s="677"/>
      <c r="V26" s="677"/>
    </row>
    <row r="27" spans="1:22" s="666" customFormat="1" ht="15" customHeight="1">
      <c r="A27" s="666">
        <f>IF(SUM(F27:M27)&gt;0,1,0)</f>
        <v>0</v>
      </c>
      <c r="B27" s="1052">
        <f t="shared" si="0"/>
        <v>61</v>
      </c>
      <c r="C27" s="703" t="s">
        <v>473</v>
      </c>
      <c r="D27" s="705"/>
      <c r="E27" s="717"/>
      <c r="F27" s="717"/>
      <c r="G27" s="690"/>
      <c r="H27" s="705"/>
      <c r="I27" s="718"/>
      <c r="J27" s="719"/>
      <c r="K27" s="720">
        <f>J27/(1+$O$4/100)*$O$4/100</f>
        <v>0</v>
      </c>
      <c r="L27" s="721"/>
      <c r="M27" s="686">
        <f>IF(J27=0,0,J27-K27-L27)</f>
        <v>0</v>
      </c>
      <c r="N27" s="933"/>
      <c r="U27" s="677"/>
      <c r="V27" s="684">
        <f>IF($N27="a",$M27,0)</f>
        <v>0</v>
      </c>
    </row>
    <row r="28" spans="1:22" s="666" customFormat="1" ht="15" customHeight="1">
      <c r="A28" s="666">
        <f>IF(SUM(F28:M28)&gt;0,1,0)</f>
        <v>0</v>
      </c>
      <c r="B28" s="1052">
        <f t="shared" si="0"/>
        <v>62</v>
      </c>
      <c r="C28" s="703" t="s">
        <v>474</v>
      </c>
      <c r="D28" s="705"/>
      <c r="E28" s="705"/>
      <c r="F28" s="705"/>
      <c r="G28" s="690" t="s">
        <v>475</v>
      </c>
      <c r="H28" s="705"/>
      <c r="I28" s="722"/>
      <c r="J28" s="719"/>
      <c r="K28" s="681">
        <f>J28/(1+$O$4/100)*$O$4/100</f>
        <v>0</v>
      </c>
      <c r="L28" s="680"/>
      <c r="M28" s="686">
        <f>IF(J28=0,0,J28-K28-L28)</f>
        <v>0</v>
      </c>
      <c r="N28" s="683"/>
      <c r="O28" s="723"/>
      <c r="P28" s="724"/>
      <c r="Q28" s="724"/>
      <c r="R28" s="724"/>
      <c r="S28" s="724"/>
      <c r="U28" s="677"/>
      <c r="V28" s="684">
        <f>IF($N28="a",$M28,0)</f>
        <v>0</v>
      </c>
    </row>
    <row r="29" spans="1:22" s="666" customFormat="1" ht="15" customHeight="1" thickBot="1">
      <c r="A29" s="666">
        <f>IF(SUM(F29:M29)&gt;0,1,0)</f>
        <v>0</v>
      </c>
      <c r="B29" s="1052">
        <f t="shared" si="0"/>
        <v>63</v>
      </c>
      <c r="C29" s="701" t="s">
        <v>572</v>
      </c>
      <c r="D29" s="1025"/>
      <c r="E29" s="1025"/>
      <c r="F29" s="1025"/>
      <c r="G29" s="702"/>
      <c r="H29" s="1025"/>
      <c r="I29" s="727"/>
      <c r="J29" s="719"/>
      <c r="K29" s="1041">
        <f>J29/(1+$O$4/100)*$O$4/100</f>
        <v>0</v>
      </c>
      <c r="L29" s="709"/>
      <c r="M29" s="686">
        <f>IF(J29=0,0,J29-K29-L29)</f>
        <v>0</v>
      </c>
      <c r="N29" s="683"/>
      <c r="O29" s="725" t="s">
        <v>476</v>
      </c>
      <c r="P29" s="677"/>
      <c r="Q29" s="677"/>
      <c r="R29" s="677"/>
      <c r="S29" s="726"/>
      <c r="U29" s="677"/>
      <c r="V29" s="677"/>
    </row>
    <row r="30" spans="1:22" s="666" customFormat="1" ht="15" customHeight="1" thickBot="1">
      <c r="A30" s="666">
        <v>1</v>
      </c>
      <c r="B30" s="1052">
        <f t="shared" si="0"/>
        <v>64</v>
      </c>
      <c r="C30" s="710" t="s">
        <v>477</v>
      </c>
      <c r="D30" s="711"/>
      <c r="E30" s="712"/>
      <c r="F30" s="712"/>
      <c r="G30" s="712"/>
      <c r="H30" s="712"/>
      <c r="I30" s="711"/>
      <c r="J30" s="728">
        <f>SUM(J27:J29)</f>
        <v>0</v>
      </c>
      <c r="K30" s="728">
        <f>SUM(K27:K29)</f>
        <v>0</v>
      </c>
      <c r="L30" s="729">
        <f>SUM(L27:L29)</f>
        <v>0</v>
      </c>
      <c r="M30" s="728">
        <f>SUM(M27:M29)</f>
        <v>0</v>
      </c>
      <c r="N30" s="1040"/>
      <c r="O30" s="1192">
        <f>MIN((M25+SUMIF(I27:I29,"x",M27:M29)),Finanzierung!P18)</f>
        <v>0</v>
      </c>
      <c r="P30" s="1195"/>
      <c r="Q30" s="723"/>
      <c r="R30" s="724"/>
      <c r="S30" s="730"/>
      <c r="U30" s="677"/>
      <c r="V30" s="677"/>
    </row>
    <row r="31" spans="1:22" s="666" customFormat="1" ht="15" customHeight="1">
      <c r="A31" s="666">
        <v>1</v>
      </c>
      <c r="B31" s="1052">
        <f t="shared" si="0"/>
        <v>65</v>
      </c>
      <c r="C31" s="668" t="s">
        <v>478</v>
      </c>
      <c r="D31" s="669"/>
      <c r="E31" s="669"/>
      <c r="F31" s="669"/>
      <c r="G31" s="669"/>
      <c r="H31" s="669"/>
      <c r="I31" s="670"/>
      <c r="J31" s="716"/>
      <c r="K31" s="716"/>
      <c r="L31" s="716"/>
      <c r="M31" s="716"/>
      <c r="N31" s="671"/>
      <c r="O31" s="731">
        <v>1</v>
      </c>
      <c r="P31" s="707" t="s">
        <v>479</v>
      </c>
      <c r="U31" s="677"/>
      <c r="V31" s="677"/>
    </row>
    <row r="32" spans="1:14" s="666" customFormat="1" ht="15" customHeight="1" thickBot="1">
      <c r="A32" s="666">
        <f>IF(SUM(F32:M32)&gt;0,1,0)</f>
        <v>0</v>
      </c>
      <c r="B32" s="1052">
        <f t="shared" si="0"/>
        <v>66</v>
      </c>
      <c r="C32" s="703" t="s">
        <v>480</v>
      </c>
      <c r="D32" s="705"/>
      <c r="E32" s="690"/>
      <c r="F32" s="705"/>
      <c r="G32" s="705"/>
      <c r="H32" s="705"/>
      <c r="I32" s="706"/>
      <c r="J32" s="680"/>
      <c r="K32" s="732">
        <f>J32/(1+$O$4/100)*$O$4/100</f>
        <v>0</v>
      </c>
      <c r="L32" s="721"/>
      <c r="M32" s="682">
        <f>IF(J32=0,0,J32-K32-L32)</f>
        <v>0</v>
      </c>
      <c r="N32" s="934"/>
    </row>
    <row r="33" spans="1:17" s="666" customFormat="1" ht="15" customHeight="1" thickBot="1">
      <c r="A33" s="666">
        <f>IF(SUM(F33:M33)&gt;0,1,0)</f>
        <v>0</v>
      </c>
      <c r="B33" s="1052">
        <f t="shared" si="0"/>
        <v>67</v>
      </c>
      <c r="C33" s="703" t="s">
        <v>481</v>
      </c>
      <c r="D33" s="717"/>
      <c r="E33" s="733"/>
      <c r="F33" s="704"/>
      <c r="G33" s="704"/>
      <c r="H33" s="704" t="s">
        <v>482</v>
      </c>
      <c r="I33" s="734">
        <f>Finanzierung!T27</f>
        <v>0</v>
      </c>
      <c r="J33" s="735">
        <f>O33</f>
        <v>0</v>
      </c>
      <c r="K33" s="736">
        <f>J33-ROUND(J33/(1+$O$4%),0)</f>
        <v>0</v>
      </c>
      <c r="L33" s="680"/>
      <c r="M33" s="682">
        <f>IF(J33=0,0,J33-K33-L33)</f>
        <v>0</v>
      </c>
      <c r="N33" s="934"/>
      <c r="O33" s="1192">
        <f>(O30*O31%+Finanzierung!$T$26)*(1+O4%)</f>
        <v>0</v>
      </c>
      <c r="P33" s="1193"/>
      <c r="Q33" s="707" t="s">
        <v>483</v>
      </c>
    </row>
    <row r="34" spans="1:14" s="666" customFormat="1" ht="15" customHeight="1">
      <c r="A34" s="666">
        <f>IF(SUM(F34:M34)&gt;0,1,0)</f>
        <v>0</v>
      </c>
      <c r="B34" s="1052">
        <f t="shared" si="0"/>
        <v>68</v>
      </c>
      <c r="C34" s="703" t="s">
        <v>484</v>
      </c>
      <c r="D34" s="705"/>
      <c r="E34" s="690"/>
      <c r="F34" s="705"/>
      <c r="G34" s="705"/>
      <c r="H34" s="705"/>
      <c r="I34" s="706"/>
      <c r="J34" s="680"/>
      <c r="K34" s="736">
        <f>J34/(1+$O$4/100)*$O$4/100</f>
        <v>0</v>
      </c>
      <c r="L34" s="680"/>
      <c r="M34" s="682">
        <f>IF(J34=0,0,J34-K34-L34)</f>
        <v>0</v>
      </c>
      <c r="N34" s="934"/>
    </row>
    <row r="35" spans="1:15" s="666" customFormat="1" ht="15" customHeight="1" thickBot="1">
      <c r="A35" s="666">
        <f>IF(SUM(F35:M35)&gt;0,1,0)</f>
        <v>0</v>
      </c>
      <c r="B35" s="1052">
        <f t="shared" si="0"/>
        <v>69</v>
      </c>
      <c r="C35" s="701"/>
      <c r="D35" s="1042"/>
      <c r="E35" s="1042"/>
      <c r="F35" s="1042"/>
      <c r="G35" s="702"/>
      <c r="H35" s="1042"/>
      <c r="I35" s="1043"/>
      <c r="J35" s="680"/>
      <c r="K35" s="737">
        <f>J35/(1+$O$4/100)*$O$4/100</f>
        <v>0</v>
      </c>
      <c r="L35" s="709"/>
      <c r="M35" s="708">
        <f>IF(J35=0,0,J35-K35-L35)</f>
        <v>0</v>
      </c>
      <c r="N35" s="1044"/>
      <c r="O35" s="707" t="s">
        <v>485</v>
      </c>
    </row>
    <row r="36" spans="1:17" s="666" customFormat="1" ht="15" customHeight="1" thickBot="1">
      <c r="A36" s="666">
        <v>1</v>
      </c>
      <c r="B36" s="1052">
        <f t="shared" si="0"/>
        <v>70</v>
      </c>
      <c r="C36" s="710" t="s">
        <v>486</v>
      </c>
      <c r="D36" s="711"/>
      <c r="E36" s="712"/>
      <c r="F36" s="712"/>
      <c r="G36" s="712"/>
      <c r="H36" s="712"/>
      <c r="I36" s="738">
        <f>IF(ROUND(SUM(M32:M35),0)&gt;M36,"Zuw.fähige Ausg. um "&amp;ROUND(SUM(M32:M35),0)-M36&amp;" Euro zu hoch!",0)</f>
        <v>0</v>
      </c>
      <c r="J36" s="728">
        <f>SUM(J32:J35)</f>
        <v>0</v>
      </c>
      <c r="K36" s="728">
        <f>SUM(K32:K35)</f>
        <v>0</v>
      </c>
      <c r="L36" s="729">
        <f>SUM(L32:L35)+IF(SUM(M32:M35)&gt;0,SUM(M32:M35)-M36)</f>
        <v>0</v>
      </c>
      <c r="M36" s="728">
        <f>MIN(O36,ROUND(SUM(M32:M35),0))</f>
        <v>0</v>
      </c>
      <c r="N36" s="1040"/>
      <c r="O36" s="1196">
        <f>ROUND(O37%*(M25+M30),0)</f>
        <v>0</v>
      </c>
      <c r="P36" s="1193"/>
      <c r="Q36" s="707" t="s">
        <v>487</v>
      </c>
    </row>
    <row r="37" spans="1:24" s="666" customFormat="1" ht="22.5" customHeight="1">
      <c r="A37" s="666">
        <v>1</v>
      </c>
      <c r="B37" s="1053">
        <f t="shared" si="0"/>
        <v>71</v>
      </c>
      <c r="C37" s="1046" t="s">
        <v>488</v>
      </c>
      <c r="D37" s="243"/>
      <c r="E37" s="1190">
        <f>IF($M$37&gt;Finanzierung!$P$18,"Höchstbetrag zuw.fähiges Investitionsvolumen  um "&amp;ROUND($M$37-Finanzierung!$P$18,0)&amp;" € überschritten",0)</f>
        <v>0</v>
      </c>
      <c r="F37" s="1190"/>
      <c r="G37" s="1190"/>
      <c r="H37" s="1190"/>
      <c r="I37" s="1191"/>
      <c r="J37" s="739">
        <f>J36+J30+J25</f>
        <v>0</v>
      </c>
      <c r="K37" s="739">
        <f>K36+K30+K25</f>
        <v>0</v>
      </c>
      <c r="L37" s="740">
        <f>L36+L30+L25</f>
        <v>0</v>
      </c>
      <c r="M37" s="739">
        <f>M36+M30+M25</f>
        <v>0</v>
      </c>
      <c r="N37" s="1045"/>
      <c r="O37" s="741">
        <v>12</v>
      </c>
      <c r="P37" s="1194" t="s">
        <v>489</v>
      </c>
      <c r="Q37" s="1194"/>
      <c r="R37" s="1194"/>
      <c r="S37" s="1194"/>
      <c r="T37" s="742"/>
      <c r="U37" s="742"/>
      <c r="V37" s="742"/>
      <c r="W37" s="742"/>
      <c r="X37" s="742"/>
    </row>
    <row r="38" spans="1:25" s="743" customFormat="1" ht="15" customHeight="1" hidden="1">
      <c r="A38" s="743">
        <v>1</v>
      </c>
      <c r="B38" s="627">
        <f t="shared" si="0"/>
        <v>72</v>
      </c>
      <c r="C38" s="744"/>
      <c r="D38" s="745"/>
      <c r="E38" s="746"/>
      <c r="F38" s="746"/>
      <c r="G38" s="746"/>
      <c r="H38" s="746"/>
      <c r="I38" s="746"/>
      <c r="J38" s="746"/>
      <c r="K38" s="746"/>
      <c r="L38" s="746"/>
      <c r="M38" s="747"/>
      <c r="N38" s="748"/>
      <c r="O38" s="749"/>
      <c r="P38" s="750"/>
      <c r="U38" s="751"/>
      <c r="V38" s="751"/>
      <c r="Y38" s="750"/>
    </row>
    <row r="39" spans="1:25" s="666" customFormat="1" ht="15" customHeight="1" hidden="1">
      <c r="A39" s="666">
        <v>1</v>
      </c>
      <c r="B39" s="667">
        <f t="shared" si="0"/>
        <v>73</v>
      </c>
      <c r="C39" s="668" t="s">
        <v>490</v>
      </c>
      <c r="D39" s="669"/>
      <c r="E39" s="669"/>
      <c r="F39" s="669"/>
      <c r="G39" s="669"/>
      <c r="H39" s="669"/>
      <c r="I39" s="670"/>
      <c r="J39" s="716"/>
      <c r="K39" s="716"/>
      <c r="L39" s="716"/>
      <c r="M39" s="716"/>
      <c r="N39" s="671"/>
      <c r="O39" s="752"/>
      <c r="P39" s="742"/>
      <c r="U39" s="677"/>
      <c r="V39" s="677"/>
      <c r="Y39" s="742"/>
    </row>
    <row r="40" spans="1:14" s="666" customFormat="1" ht="15" customHeight="1" hidden="1">
      <c r="A40" s="666">
        <f aca="true" t="shared" si="2" ref="A40:A51">IF(SUM(F40:M40)&gt;0,1,0)</f>
        <v>0</v>
      </c>
      <c r="B40" s="667">
        <f t="shared" si="0"/>
        <v>74</v>
      </c>
      <c r="C40" s="753" t="s">
        <v>491</v>
      </c>
      <c r="D40" s="94"/>
      <c r="E40" s="754"/>
      <c r="F40" s="94"/>
      <c r="G40" s="94"/>
      <c r="H40" s="755"/>
      <c r="I40" s="94"/>
      <c r="J40" s="721"/>
      <c r="K40" s="736">
        <f>J40/(1+$O$5/100)*$O$5/100</f>
        <v>0</v>
      </c>
      <c r="L40" s="756"/>
      <c r="M40" s="757"/>
      <c r="N40" s="694"/>
    </row>
    <row r="41" spans="1:14" s="666" customFormat="1" ht="15" customHeight="1" hidden="1">
      <c r="A41" s="666">
        <f t="shared" si="2"/>
        <v>0</v>
      </c>
      <c r="B41" s="667">
        <f t="shared" si="0"/>
        <v>75</v>
      </c>
      <c r="C41" s="753" t="s">
        <v>492</v>
      </c>
      <c r="D41" s="94"/>
      <c r="E41" s="754"/>
      <c r="F41" s="94"/>
      <c r="G41" s="94"/>
      <c r="H41" s="755"/>
      <c r="I41" s="94"/>
      <c r="J41" s="680"/>
      <c r="K41" s="736">
        <f>J41/(1+$O$4/100)*$O$4/100</f>
        <v>0</v>
      </c>
      <c r="L41" s="757"/>
      <c r="M41" s="757"/>
      <c r="N41" s="694"/>
    </row>
    <row r="42" spans="1:18" s="666" customFormat="1" ht="15" customHeight="1" hidden="1">
      <c r="A42" s="666">
        <f t="shared" si="2"/>
        <v>0</v>
      </c>
      <c r="B42" s="667">
        <f t="shared" si="0"/>
        <v>76</v>
      </c>
      <c r="C42" s="753" t="s">
        <v>493</v>
      </c>
      <c r="D42" s="94"/>
      <c r="E42" s="754"/>
      <c r="F42" s="94"/>
      <c r="G42" s="94"/>
      <c r="H42" s="755"/>
      <c r="I42" s="94"/>
      <c r="J42" s="680"/>
      <c r="K42" s="736">
        <f>J42/(1+$O$4/100)*$O$4/100</f>
        <v>0</v>
      </c>
      <c r="L42" s="757"/>
      <c r="M42" s="757"/>
      <c r="N42" s="694"/>
      <c r="O42" s="758"/>
      <c r="R42" s="677"/>
    </row>
    <row r="43" spans="1:18" s="666" customFormat="1" ht="15" customHeight="1" hidden="1">
      <c r="A43" s="666">
        <f t="shared" si="2"/>
        <v>0</v>
      </c>
      <c r="B43" s="667">
        <f t="shared" si="0"/>
        <v>77</v>
      </c>
      <c r="C43" s="753" t="s">
        <v>494</v>
      </c>
      <c r="D43" s="94"/>
      <c r="E43" s="94"/>
      <c r="F43" s="94"/>
      <c r="G43" s="690"/>
      <c r="H43" s="755"/>
      <c r="I43" s="94"/>
      <c r="J43" s="680"/>
      <c r="K43" s="736">
        <f>J43/(1+$O$4/100)*$O$4/100</f>
        <v>0</v>
      </c>
      <c r="L43" s="757"/>
      <c r="M43" s="757"/>
      <c r="N43" s="694"/>
      <c r="O43" s="758"/>
      <c r="R43" s="677"/>
    </row>
    <row r="44" spans="1:18" s="666" customFormat="1" ht="15" customHeight="1" hidden="1">
      <c r="A44" s="666">
        <f t="shared" si="2"/>
        <v>0</v>
      </c>
      <c r="B44" s="667">
        <f t="shared" si="0"/>
        <v>78</v>
      </c>
      <c r="C44" s="703" t="s">
        <v>495</v>
      </c>
      <c r="D44" s="689"/>
      <c r="E44" s="690"/>
      <c r="F44" s="689"/>
      <c r="G44" s="755"/>
      <c r="H44" s="755"/>
      <c r="I44" s="705"/>
      <c r="J44" s="680"/>
      <c r="K44" s="736">
        <f>J44/(1+$O$5/100)*$O$5/100</f>
        <v>0</v>
      </c>
      <c r="L44" s="757"/>
      <c r="M44" s="757"/>
      <c r="N44" s="694"/>
      <c r="O44" s="758"/>
      <c r="R44" s="677"/>
    </row>
    <row r="45" spans="1:18" s="666" customFormat="1" ht="15" customHeight="1" hidden="1">
      <c r="A45" s="666">
        <f t="shared" si="2"/>
        <v>1</v>
      </c>
      <c r="B45" s="667">
        <f t="shared" si="0"/>
        <v>79</v>
      </c>
      <c r="C45" s="759" t="s">
        <v>496</v>
      </c>
      <c r="D45" s="1185"/>
      <c r="E45" s="1185"/>
      <c r="F45" s="760" t="s">
        <v>497</v>
      </c>
      <c r="G45" s="761">
        <v>0.15</v>
      </c>
      <c r="H45" s="760" t="s">
        <v>227</v>
      </c>
      <c r="I45" s="762"/>
      <c r="J45" s="736">
        <f>+G45*D45</f>
        <v>0</v>
      </c>
      <c r="K45" s="757"/>
      <c r="L45" s="757"/>
      <c r="M45" s="757"/>
      <c r="N45" s="694"/>
      <c r="O45" s="758"/>
      <c r="R45" s="677"/>
    </row>
    <row r="46" spans="1:18" s="666" customFormat="1" ht="15" customHeight="1" hidden="1">
      <c r="A46" s="666">
        <f t="shared" si="2"/>
        <v>0</v>
      </c>
      <c r="B46" s="667">
        <f t="shared" si="0"/>
        <v>80</v>
      </c>
      <c r="C46" s="763" t="s">
        <v>498</v>
      </c>
      <c r="D46" s="1186"/>
      <c r="E46" s="1186"/>
      <c r="F46" s="764" t="s">
        <v>499</v>
      </c>
      <c r="G46" s="765"/>
      <c r="H46" s="764" t="s">
        <v>226</v>
      </c>
      <c r="I46" s="766"/>
      <c r="J46" s="736">
        <f>+G46*D46</f>
        <v>0</v>
      </c>
      <c r="K46" s="736">
        <f>J46/(1+$O$5/100)*$O$5/100</f>
        <v>0</v>
      </c>
      <c r="L46" s="757"/>
      <c r="M46" s="757"/>
      <c r="N46" s="694"/>
      <c r="O46" s="758"/>
      <c r="R46" s="677"/>
    </row>
    <row r="47" spans="1:15" s="666" customFormat="1" ht="15" customHeight="1" hidden="1">
      <c r="A47" s="666">
        <f t="shared" si="2"/>
        <v>0</v>
      </c>
      <c r="B47" s="667">
        <f t="shared" si="0"/>
        <v>81</v>
      </c>
      <c r="C47" s="703" t="s">
        <v>500</v>
      </c>
      <c r="D47" s="705"/>
      <c r="E47" s="767"/>
      <c r="F47" s="705"/>
      <c r="G47" s="705"/>
      <c r="H47" s="705"/>
      <c r="I47" s="699"/>
      <c r="J47" s="680"/>
      <c r="K47" s="757"/>
      <c r="L47" s="757"/>
      <c r="M47" s="757"/>
      <c r="N47" s="694"/>
      <c r="O47" s="758"/>
    </row>
    <row r="48" spans="1:15" s="666" customFormat="1" ht="15" customHeight="1" hidden="1">
      <c r="A48" s="666">
        <f t="shared" si="2"/>
        <v>0</v>
      </c>
      <c r="B48" s="667">
        <f t="shared" si="0"/>
        <v>82</v>
      </c>
      <c r="C48" s="692" t="s">
        <v>501</v>
      </c>
      <c r="D48" s="693"/>
      <c r="E48" s="690"/>
      <c r="F48" s="693"/>
      <c r="G48" s="629"/>
      <c r="H48" s="768"/>
      <c r="I48" s="768"/>
      <c r="J48" s="680"/>
      <c r="K48" s="757"/>
      <c r="L48" s="757"/>
      <c r="M48" s="757"/>
      <c r="N48" s="694"/>
      <c r="O48" s="758"/>
    </row>
    <row r="49" spans="1:15" s="666" customFormat="1" ht="15" customHeight="1" hidden="1">
      <c r="A49" s="666">
        <f t="shared" si="2"/>
        <v>0</v>
      </c>
      <c r="B49" s="667">
        <f t="shared" si="0"/>
        <v>83</v>
      </c>
      <c r="C49" s="692" t="s">
        <v>502</v>
      </c>
      <c r="D49" s="693"/>
      <c r="E49" s="693"/>
      <c r="F49" s="693"/>
      <c r="G49" s="769"/>
      <c r="H49" s="768"/>
      <c r="I49" s="768"/>
      <c r="J49" s="680"/>
      <c r="K49" s="757"/>
      <c r="L49" s="757"/>
      <c r="M49" s="757"/>
      <c r="N49" s="694"/>
      <c r="O49" s="758"/>
    </row>
    <row r="50" spans="1:15" s="666" customFormat="1" ht="15" customHeight="1" hidden="1">
      <c r="A50" s="666">
        <f t="shared" si="2"/>
        <v>0</v>
      </c>
      <c r="B50" s="667">
        <f t="shared" si="0"/>
        <v>84</v>
      </c>
      <c r="C50" s="770" t="s">
        <v>503</v>
      </c>
      <c r="D50" s="771"/>
      <c r="E50" s="772"/>
      <c r="F50" s="771"/>
      <c r="G50" s="629"/>
      <c r="H50" s="768"/>
      <c r="I50" s="768"/>
      <c r="J50" s="680"/>
      <c r="K50" s="757"/>
      <c r="L50" s="757"/>
      <c r="M50" s="757"/>
      <c r="N50" s="694"/>
      <c r="O50" s="758"/>
    </row>
    <row r="51" spans="1:15" s="666" customFormat="1" ht="15" customHeight="1" hidden="1" thickBot="1">
      <c r="A51" s="666">
        <f t="shared" si="2"/>
        <v>0</v>
      </c>
      <c r="B51" s="667">
        <f t="shared" si="0"/>
        <v>85</v>
      </c>
      <c r="C51" s="692" t="s">
        <v>504</v>
      </c>
      <c r="D51" s="693"/>
      <c r="E51" s="690"/>
      <c r="F51" s="693"/>
      <c r="G51" s="693"/>
      <c r="H51" s="693"/>
      <c r="I51" s="693"/>
      <c r="J51" s="773"/>
      <c r="K51" s="774"/>
      <c r="L51" s="774"/>
      <c r="M51" s="757"/>
      <c r="N51" s="775"/>
      <c r="O51" s="758"/>
    </row>
    <row r="52" spans="1:21" s="666" customFormat="1" ht="15" customHeight="1" hidden="1" thickBot="1">
      <c r="A52" s="666">
        <v>1</v>
      </c>
      <c r="B52" s="667">
        <f t="shared" si="0"/>
        <v>86</v>
      </c>
      <c r="C52" s="776" t="s">
        <v>505</v>
      </c>
      <c r="D52" s="777"/>
      <c r="E52" s="777"/>
      <c r="F52" s="777"/>
      <c r="G52" s="778"/>
      <c r="H52" s="778"/>
      <c r="I52" s="779"/>
      <c r="J52" s="911">
        <f>SUM(J40:J51)</f>
        <v>0</v>
      </c>
      <c r="K52" s="911">
        <f>SUM(K40:K46)</f>
        <v>0</v>
      </c>
      <c r="L52" s="911">
        <f>J52-K52</f>
        <v>0</v>
      </c>
      <c r="M52" s="912"/>
      <c r="N52" s="628"/>
      <c r="O52" s="780"/>
      <c r="P52" s="781"/>
      <c r="U52" s="782">
        <f>SUM(U10:U51)</f>
        <v>0</v>
      </c>
    </row>
    <row r="53" spans="1:21" s="666" customFormat="1" ht="15" customHeight="1" hidden="1" thickBot="1">
      <c r="A53" s="666">
        <v>1</v>
      </c>
      <c r="B53" s="667">
        <f t="shared" si="0"/>
        <v>87</v>
      </c>
      <c r="C53" s="783"/>
      <c r="D53" s="784"/>
      <c r="E53" s="784"/>
      <c r="F53" s="784"/>
      <c r="G53" s="785"/>
      <c r="H53" s="785"/>
      <c r="I53" s="786"/>
      <c r="J53" s="787"/>
      <c r="K53" s="787"/>
      <c r="L53" s="787"/>
      <c r="M53" s="788"/>
      <c r="N53" s="628"/>
      <c r="O53" s="780"/>
      <c r="P53" s="781"/>
      <c r="U53" s="789"/>
    </row>
    <row r="54" spans="1:22" s="666" customFormat="1" ht="15.75" customHeight="1" hidden="1" thickBot="1">
      <c r="A54" s="666">
        <v>1</v>
      </c>
      <c r="B54" s="790">
        <f t="shared" si="0"/>
        <v>88</v>
      </c>
      <c r="C54" s="791" t="s">
        <v>506</v>
      </c>
      <c r="D54" s="792"/>
      <c r="E54" s="792"/>
      <c r="F54" s="793"/>
      <c r="G54" s="794"/>
      <c r="H54" s="793"/>
      <c r="I54" s="795"/>
      <c r="J54" s="796">
        <f>SUM(J37,J52)</f>
        <v>0</v>
      </c>
      <c r="K54" s="797">
        <f>SUM(K37,K52)</f>
        <v>0</v>
      </c>
      <c r="L54" s="796">
        <f>SUM(L37,L52)</f>
        <v>0</v>
      </c>
      <c r="M54" s="798">
        <f>SUM(M37,M52)</f>
        <v>0</v>
      </c>
      <c r="N54" s="799"/>
      <c r="O54" s="758"/>
      <c r="T54" s="782">
        <f>SUM(T10:T51)</f>
        <v>0</v>
      </c>
      <c r="V54" s="782">
        <f>SUM(V10:V51)</f>
        <v>0</v>
      </c>
    </row>
    <row r="55" spans="1:14" s="666" customFormat="1" ht="15" customHeight="1" hidden="1">
      <c r="A55" s="666">
        <f>IF(SUM(F55:M55)&gt;0,1,0)</f>
        <v>0</v>
      </c>
      <c r="B55" s="667">
        <f t="shared" si="0"/>
        <v>89</v>
      </c>
      <c r="C55" s="688" t="s">
        <v>507</v>
      </c>
      <c r="D55" s="760"/>
      <c r="E55" s="800"/>
      <c r="F55" s="800"/>
      <c r="G55" s="801"/>
      <c r="H55" s="800"/>
      <c r="I55" s="629"/>
      <c r="J55" s="802"/>
      <c r="K55" s="803"/>
      <c r="L55" s="804"/>
      <c r="M55" s="805"/>
      <c r="N55" s="628"/>
    </row>
    <row r="56" spans="1:14" s="666" customFormat="1" ht="15" customHeight="1" hidden="1">
      <c r="A56" s="666">
        <f>IF(SUM(F56:M56)&gt;0,1,0)</f>
        <v>0</v>
      </c>
      <c r="B56" s="667">
        <f t="shared" si="0"/>
        <v>90</v>
      </c>
      <c r="C56" s="685" t="s">
        <v>508</v>
      </c>
      <c r="D56" s="806"/>
      <c r="E56" s="807"/>
      <c r="F56" s="807"/>
      <c r="G56" s="807"/>
      <c r="H56" s="807"/>
      <c r="I56" s="629"/>
      <c r="J56" s="802"/>
      <c r="K56" s="808"/>
      <c r="L56" s="1165" t="s">
        <v>509</v>
      </c>
      <c r="M56" s="1187"/>
      <c r="N56" s="628"/>
    </row>
    <row r="57" spans="1:14" s="666" customFormat="1" ht="15" customHeight="1" hidden="1" thickBot="1">
      <c r="A57" s="666">
        <f>IF(SUM(F57:M57)&gt;0,1,0)</f>
        <v>0</v>
      </c>
      <c r="B57" s="667">
        <f t="shared" si="0"/>
        <v>91</v>
      </c>
      <c r="C57" s="685" t="s">
        <v>510</v>
      </c>
      <c r="D57" s="806"/>
      <c r="E57" s="807"/>
      <c r="F57" s="807"/>
      <c r="G57" s="807"/>
      <c r="H57" s="807"/>
      <c r="I57" s="629"/>
      <c r="J57" s="802"/>
      <c r="K57" s="632"/>
      <c r="L57" s="1188" t="s">
        <v>511</v>
      </c>
      <c r="M57" s="1189"/>
      <c r="N57" s="628"/>
    </row>
    <row r="58" spans="1:14" s="666" customFormat="1" ht="15" customHeight="1" hidden="1" thickBot="1">
      <c r="A58" s="666">
        <v>1</v>
      </c>
      <c r="B58" s="667">
        <f t="shared" si="0"/>
        <v>92</v>
      </c>
      <c r="C58" s="809" t="s">
        <v>512</v>
      </c>
      <c r="D58" s="764"/>
      <c r="E58" s="810"/>
      <c r="F58" s="810"/>
      <c r="G58" s="811"/>
      <c r="H58" s="800"/>
      <c r="I58" s="629"/>
      <c r="J58" s="812"/>
      <c r="K58" s="804"/>
      <c r="L58" s="1166">
        <f>SUM(J54:J54,J59)</f>
        <v>0</v>
      </c>
      <c r="M58" s="1167"/>
      <c r="N58" s="628"/>
    </row>
    <row r="59" spans="1:14" s="666" customFormat="1" ht="15.75" customHeight="1" hidden="1" thickBot="1">
      <c r="A59" s="666">
        <v>1</v>
      </c>
      <c r="B59" s="813">
        <f t="shared" si="0"/>
        <v>93</v>
      </c>
      <c r="C59" s="814"/>
      <c r="D59" s="815" t="s">
        <v>513</v>
      </c>
      <c r="E59" s="816"/>
      <c r="F59" s="816"/>
      <c r="G59" s="816"/>
      <c r="H59" s="816"/>
      <c r="I59" s="816"/>
      <c r="J59" s="817">
        <f>SUM(J55:J58)</f>
        <v>0</v>
      </c>
      <c r="K59" s="818"/>
      <c r="L59" s="818"/>
      <c r="M59" s="819"/>
      <c r="N59" s="820"/>
    </row>
    <row r="60" spans="2:14" s="666" customFormat="1" ht="6" customHeight="1" hidden="1" thickBot="1">
      <c r="B60" s="821"/>
      <c r="C60" s="822"/>
      <c r="D60" s="822"/>
      <c r="E60" s="822"/>
      <c r="F60" s="822"/>
      <c r="G60" s="822"/>
      <c r="H60" s="822"/>
      <c r="I60" s="822"/>
      <c r="J60" s="823"/>
      <c r="K60" s="823"/>
      <c r="L60" s="823"/>
      <c r="M60" s="823"/>
      <c r="N60" s="824"/>
    </row>
    <row r="61" s="666" customFormat="1" ht="3.75" customHeight="1" hidden="1"/>
    <row r="62" spans="2:10" s="496" customFormat="1" ht="15" customHeight="1" hidden="1">
      <c r="B62" s="111" t="s">
        <v>231</v>
      </c>
      <c r="D62" s="246"/>
      <c r="E62" s="246"/>
      <c r="F62" s="246"/>
      <c r="H62" s="246"/>
      <c r="I62" s="246"/>
      <c r="J62" s="498"/>
    </row>
    <row r="63" spans="2:13" s="496" customFormat="1" ht="18" customHeight="1" hidden="1">
      <c r="B63" s="501" t="str">
        <f>"Ohne Kosten der Quote. Diese werden separat berücksichtigt (vgl. Z. "&amp;'DB-Milchvieh'!B71&amp;" bzw. Z "&amp;Ergebnis!B52&amp;")."</f>
        <v>Ohne Kosten der Quote. Diese werden separat berücksichtigt (vgl. Z.  bzw. Z ).</v>
      </c>
      <c r="C63" s="497"/>
      <c r="D63" s="497"/>
      <c r="E63" s="497"/>
      <c r="F63" s="497"/>
      <c r="G63" s="497"/>
      <c r="H63" s="497"/>
      <c r="I63" s="497"/>
      <c r="J63" s="499"/>
      <c r="K63" s="499"/>
      <c r="L63" s="499"/>
      <c r="M63" s="499"/>
    </row>
    <row r="64" spans="2:13" s="496" customFormat="1" ht="18" customHeight="1" hidden="1">
      <c r="B64" s="112">
        <f>IF(AND(H44&gt;0,SUM(H57:H57)&gt;0)," Erschließung wird bereits im AFP beantragt!",0)</f>
        <v>0</v>
      </c>
      <c r="C64" s="497"/>
      <c r="D64" s="497"/>
      <c r="E64" s="497"/>
      <c r="F64" s="497"/>
      <c r="H64" s="497"/>
      <c r="I64" s="497"/>
      <c r="J64" s="499"/>
      <c r="K64" s="499"/>
      <c r="L64" s="499"/>
      <c r="M64" s="499"/>
    </row>
    <row r="65" spans="2:13" s="496" customFormat="1" ht="18" customHeight="1" hidden="1">
      <c r="B65" s="244"/>
      <c r="C65" s="244"/>
      <c r="D65" s="244"/>
      <c r="E65" s="244"/>
      <c r="F65" s="244"/>
      <c r="G65" s="244"/>
      <c r="H65" s="244"/>
      <c r="I65" s="244"/>
      <c r="J65" s="500"/>
      <c r="K65" s="500"/>
      <c r="L65" s="500"/>
      <c r="M65" s="500"/>
    </row>
    <row r="66" spans="2:13" s="496" customFormat="1" ht="18" customHeight="1" hidden="1">
      <c r="B66" s="244"/>
      <c r="C66" s="244"/>
      <c r="D66" s="244"/>
      <c r="E66" s="244"/>
      <c r="F66" s="244"/>
      <c r="G66" s="244"/>
      <c r="H66" s="244"/>
      <c r="I66" s="244"/>
      <c r="J66" s="500"/>
      <c r="K66" s="500"/>
      <c r="L66" s="500"/>
      <c r="M66" s="500"/>
    </row>
    <row r="67" ht="12.75" hidden="1"/>
    <row r="264" ht="12.75">
      <c r="F264" s="1104"/>
    </row>
  </sheetData>
  <sheetProtection password="9339" sheet="1" objects="1"/>
  <mergeCells count="14">
    <mergeCell ref="N3:N7"/>
    <mergeCell ref="F14:I14"/>
    <mergeCell ref="D10:E10"/>
    <mergeCell ref="F10:I10"/>
    <mergeCell ref="E37:I37"/>
    <mergeCell ref="O33:P33"/>
    <mergeCell ref="P37:S37"/>
    <mergeCell ref="O30:P30"/>
    <mergeCell ref="O36:P36"/>
    <mergeCell ref="D45:E45"/>
    <mergeCell ref="D46:E46"/>
    <mergeCell ref="L58:M58"/>
    <mergeCell ref="L56:M56"/>
    <mergeCell ref="L57:M57"/>
  </mergeCells>
  <dataValidations count="3">
    <dataValidation type="custom" allowBlank="1" showErrorMessage="1" errorTitle="Option &quot;Inv.m.bes.Anforderung&quot;" error="Bitte mit &quot;X&quot; oder &quot;x&quot; markieren, wenn erhöte Förderung möglich." sqref="N14">
      <formula1>OR(N14="",N14="a",N14="u",N14="A",N14="U")</formula1>
    </dataValidation>
    <dataValidation type="custom" allowBlank="1" showInputMessage="1" showErrorMessage="1" errorTitle="Betreuerzuschussrelevanz:" error="Bitte mit &quot;X&quot; oder &quot;x&quot; markieren, wenn Kosten für Betreuerzuschuss anrechenbar." sqref="I27:I29">
      <formula1>OR(I27="",I27="X",I27="x")</formula1>
    </dataValidation>
    <dataValidation type="custom" allowBlank="1" showErrorMessage="1" errorTitle="Option &quot;Inv.m.bes.Anforderung&quot;" error="Bitte mit &quot;a&quot; oder &quot;A&quot; markieren, wenn erhöhte Förderung möglich." sqref="N28:N29 N11:N13 N24">
      <formula1>OR(N28="",N28="a",N28="A")</formula1>
    </dataValidation>
  </dataValidations>
  <hyperlinks>
    <hyperlink ref="E61:I61" location="'2 InvBed'!G28" display="zur Eingabe&quot;Lagerräume&quot;"/>
  </hyperlinks>
  <printOptions horizontalCentered="1"/>
  <pageMargins left="0.39" right="0.41" top="0.5905511811023623" bottom="0.5905511811023623" header="0.1968503937007874" footer="0.1968503937007874"/>
  <pageSetup horizontalDpi="600" verticalDpi="600" orientation="portrait" paperSize="9" scale="87" r:id="rId4"/>
  <headerFooter alignWithMargins="0">
    <oddFooter>&amp;L&amp;8LEL Schwäbisch Gmünd 
Abt. 2&amp;C&amp;8&amp;F
&amp;A&amp;R&amp;8&amp;D
&amp;"Arial,Fett"&amp;12Seite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AA53"/>
  <sheetViews>
    <sheetView showGridLines="0" workbookViewId="0" topLeftCell="A1">
      <pane xSplit="2" ySplit="7" topLeftCell="C14" activePane="bottomRight" state="frozen"/>
      <selection pane="topLeft" activeCell="F72" sqref="F72"/>
      <selection pane="topRight" activeCell="F72" sqref="F72"/>
      <selection pane="bottomLeft" activeCell="F72" sqref="F72"/>
      <selection pane="bottomRight" activeCell="F72" sqref="F72"/>
    </sheetView>
  </sheetViews>
  <sheetFormatPr defaultColWidth="11.421875" defaultRowHeight="12.75"/>
  <cols>
    <col min="1" max="1" width="3.7109375" style="1061" customWidth="1"/>
    <col min="2" max="2" width="4.7109375" style="0" customWidth="1"/>
    <col min="3" max="3" width="11.00390625" style="0" customWidth="1"/>
    <col min="4" max="4" width="7.00390625" style="0" customWidth="1"/>
    <col min="5" max="5" width="5.57421875" style="0" customWidth="1"/>
    <col min="6" max="6" width="4.8515625" style="0" customWidth="1"/>
    <col min="7" max="7" width="5.57421875" style="0" customWidth="1"/>
    <col min="8" max="10" width="10.8515625" style="0" customWidth="1"/>
    <col min="11" max="11" width="9.140625" style="0" customWidth="1"/>
    <col min="12" max="12" width="12.00390625" style="0" customWidth="1"/>
    <col min="13" max="13" width="1.28515625" style="0" customWidth="1"/>
    <col min="14" max="14" width="4.28125" style="0" customWidth="1"/>
    <col min="15" max="16" width="4.00390625" style="0" customWidth="1"/>
    <col min="17" max="17" width="5.57421875" style="830" customWidth="1"/>
    <col min="18" max="18" width="7.00390625" style="0" customWidth="1"/>
  </cols>
  <sheetData>
    <row r="1" spans="1:25" ht="3.75" customHeight="1">
      <c r="A1" s="1054"/>
      <c r="B1" s="1063"/>
      <c r="C1" s="1063"/>
      <c r="D1" s="1063"/>
      <c r="E1" s="1063"/>
      <c r="F1" s="1063"/>
      <c r="G1" s="1063"/>
      <c r="H1" s="905"/>
      <c r="I1" s="906"/>
      <c r="J1" s="907"/>
      <c r="K1" s="908"/>
      <c r="L1" s="909"/>
      <c r="M1" s="1088"/>
      <c r="N1" s="827"/>
      <c r="O1" s="827"/>
      <c r="P1" s="828"/>
      <c r="Q1" s="827"/>
      <c r="R1" s="827"/>
      <c r="S1" s="827"/>
      <c r="T1" s="829"/>
      <c r="U1" s="829"/>
      <c r="V1" s="829"/>
      <c r="W1" s="829"/>
      <c r="X1" s="829"/>
      <c r="Y1" s="829"/>
    </row>
    <row r="2" spans="1:25" ht="18" customHeight="1">
      <c r="A2" s="1055"/>
      <c r="B2" s="1062" t="s">
        <v>514</v>
      </c>
      <c r="C2" s="903"/>
      <c r="D2" s="903"/>
      <c r="E2" s="904"/>
      <c r="F2" s="1025"/>
      <c r="G2" s="1025"/>
      <c r="H2" s="629"/>
      <c r="I2" s="833"/>
      <c r="J2" s="831"/>
      <c r="K2" s="832"/>
      <c r="L2" s="835" t="s">
        <v>515</v>
      </c>
      <c r="M2" s="1089"/>
      <c r="Q2"/>
      <c r="U2" s="834"/>
      <c r="V2" s="829"/>
      <c r="W2" s="829"/>
      <c r="X2" s="829"/>
      <c r="Y2" s="829"/>
    </row>
    <row r="3" spans="1:25" ht="12" customHeight="1">
      <c r="A3" s="1056"/>
      <c r="B3" s="858"/>
      <c r="C3" s="807"/>
      <c r="D3" s="807"/>
      <c r="E3" s="807"/>
      <c r="F3" s="807"/>
      <c r="G3" s="807"/>
      <c r="H3" s="629"/>
      <c r="I3" s="629"/>
      <c r="J3" s="1025"/>
      <c r="K3" s="1025"/>
      <c r="L3" s="835" t="s">
        <v>516</v>
      </c>
      <c r="M3" s="1089"/>
      <c r="Q3"/>
      <c r="U3" s="834"/>
      <c r="V3" s="829"/>
      <c r="W3" s="829"/>
      <c r="X3" s="829"/>
      <c r="Y3" s="829"/>
    </row>
    <row r="4" spans="1:25" ht="12" customHeight="1">
      <c r="A4" s="1056"/>
      <c r="B4" s="858"/>
      <c r="C4" s="807"/>
      <c r="D4" s="807"/>
      <c r="E4" s="807"/>
      <c r="F4" s="807"/>
      <c r="G4" s="807"/>
      <c r="H4" s="1025"/>
      <c r="I4" s="1025"/>
      <c r="J4" s="1025"/>
      <c r="K4" s="1025"/>
      <c r="L4" s="835" t="s">
        <v>422</v>
      </c>
      <c r="M4" s="1089"/>
      <c r="Q4"/>
      <c r="U4" s="834"/>
      <c r="V4" s="829"/>
      <c r="W4" s="829"/>
      <c r="X4" s="829"/>
      <c r="Y4" s="829"/>
    </row>
    <row r="5" spans="1:25" ht="12" customHeight="1">
      <c r="A5" s="1056"/>
      <c r="B5" s="858"/>
      <c r="C5" s="807"/>
      <c r="D5" s="807"/>
      <c r="E5" s="807"/>
      <c r="F5" s="807"/>
      <c r="G5" s="807"/>
      <c r="H5" s="1025"/>
      <c r="I5" s="1025"/>
      <c r="J5" s="1025"/>
      <c r="K5" s="1025"/>
      <c r="L5" s="837"/>
      <c r="M5" s="1089"/>
      <c r="Q5"/>
      <c r="U5" s="834"/>
      <c r="V5" s="829"/>
      <c r="W5" s="829"/>
      <c r="X5" s="829"/>
      <c r="Y5" s="829"/>
    </row>
    <row r="6" spans="1:25" ht="12" customHeight="1">
      <c r="A6" s="1057"/>
      <c r="B6" s="838"/>
      <c r="C6" s="838"/>
      <c r="D6" s="838"/>
      <c r="E6" s="838"/>
      <c r="F6" s="838"/>
      <c r="G6" s="838"/>
      <c r="H6" s="838"/>
      <c r="I6" s="838"/>
      <c r="J6" s="838"/>
      <c r="K6" s="838"/>
      <c r="L6" s="839" t="s">
        <v>441</v>
      </c>
      <c r="M6" s="1089"/>
      <c r="N6" s="836"/>
      <c r="P6" s="829"/>
      <c r="T6" s="829"/>
      <c r="U6" s="829"/>
      <c r="V6" s="829"/>
      <c r="W6" s="829"/>
      <c r="X6" s="829"/>
      <c r="Y6" s="829"/>
    </row>
    <row r="7" spans="1:25" ht="18" customHeight="1">
      <c r="A7" s="1058"/>
      <c r="B7" s="838"/>
      <c r="C7" s="877" t="s">
        <v>517</v>
      </c>
      <c r="D7" s="1064"/>
      <c r="E7" s="1064"/>
      <c r="F7" s="1064"/>
      <c r="G7" s="840" t="s">
        <v>457</v>
      </c>
      <c r="H7" s="1064"/>
      <c r="I7" s="1064"/>
      <c r="J7" s="1064"/>
      <c r="K7" s="1064"/>
      <c r="L7" s="841"/>
      <c r="M7" s="1089"/>
      <c r="Q7"/>
      <c r="X7" s="829"/>
      <c r="Y7" s="829"/>
    </row>
    <row r="8" spans="1:25" ht="19.5" customHeight="1">
      <c r="A8" s="1059">
        <f>+Investition!B37+1</f>
        <v>72</v>
      </c>
      <c r="B8" s="1067"/>
      <c r="C8" s="843" t="s">
        <v>518</v>
      </c>
      <c r="D8" s="844"/>
      <c r="E8" s="844"/>
      <c r="F8" s="844"/>
      <c r="G8" s="844"/>
      <c r="H8" s="844"/>
      <c r="I8" s="844"/>
      <c r="J8" s="950"/>
      <c r="K8" s="844"/>
      <c r="L8" s="1065">
        <f>ROUND(+L32-(L30+L24+L15),0)</f>
        <v>0</v>
      </c>
      <c r="M8" s="1089"/>
      <c r="N8" s="845"/>
      <c r="Q8"/>
      <c r="X8" s="829"/>
      <c r="Y8" s="829"/>
    </row>
    <row r="9" spans="1:27" ht="16.5" customHeight="1">
      <c r="A9" s="1059">
        <f aca="true" t="shared" si="0" ref="A9:A33">A8+1</f>
        <v>73</v>
      </c>
      <c r="B9" s="1067"/>
      <c r="C9" s="846" t="s">
        <v>519</v>
      </c>
      <c r="D9" s="847"/>
      <c r="E9" s="847"/>
      <c r="F9" s="847"/>
      <c r="G9" s="847"/>
      <c r="H9" s="847"/>
      <c r="I9" s="847"/>
      <c r="J9" s="847"/>
      <c r="K9" s="847"/>
      <c r="L9" s="848"/>
      <c r="M9" s="1089"/>
      <c r="N9" s="845"/>
      <c r="Q9"/>
      <c r="X9" s="829"/>
      <c r="Y9" s="829"/>
      <c r="AA9" t="s">
        <v>520</v>
      </c>
    </row>
    <row r="10" spans="1:25" ht="16.5" customHeight="1">
      <c r="A10" s="1059">
        <f t="shared" si="0"/>
        <v>74</v>
      </c>
      <c r="B10" s="1067"/>
      <c r="C10" s="846" t="s">
        <v>521</v>
      </c>
      <c r="D10" s="1068"/>
      <c r="E10" s="1068"/>
      <c r="F10" s="1068"/>
      <c r="G10" s="1068"/>
      <c r="H10" s="1068"/>
      <c r="I10" s="1068"/>
      <c r="J10" s="1068"/>
      <c r="K10" s="1068"/>
      <c r="L10" s="849"/>
      <c r="M10" s="1089"/>
      <c r="Q10"/>
      <c r="X10" s="829"/>
      <c r="Y10" s="829"/>
    </row>
    <row r="11" spans="1:25" ht="16.5" customHeight="1">
      <c r="A11" s="1059">
        <f t="shared" si="0"/>
        <v>75</v>
      </c>
      <c r="B11" s="1067"/>
      <c r="C11" s="846" t="s">
        <v>522</v>
      </c>
      <c r="D11" s="1068"/>
      <c r="E11" s="1068"/>
      <c r="F11" s="1068"/>
      <c r="G11" s="1068"/>
      <c r="H11" s="1068"/>
      <c r="I11" s="1068"/>
      <c r="J11" s="1068"/>
      <c r="K11" s="1068"/>
      <c r="L11" s="849"/>
      <c r="M11" s="1089"/>
      <c r="Q11"/>
      <c r="X11" s="829"/>
      <c r="Y11" s="829"/>
    </row>
    <row r="12" spans="1:25" ht="16.5" customHeight="1">
      <c r="A12" s="1059">
        <f t="shared" si="0"/>
        <v>76</v>
      </c>
      <c r="B12" s="1067"/>
      <c r="C12" s="846" t="s">
        <v>523</v>
      </c>
      <c r="D12" s="1068"/>
      <c r="E12" s="1068"/>
      <c r="F12" s="1068"/>
      <c r="G12" s="1068"/>
      <c r="H12" s="850"/>
      <c r="I12" s="850"/>
      <c r="J12" s="850"/>
      <c r="K12" s="1068"/>
      <c r="L12" s="849"/>
      <c r="M12" s="1089"/>
      <c r="Q12"/>
      <c r="X12" s="829"/>
      <c r="Y12" s="829"/>
    </row>
    <row r="13" spans="1:27" ht="16.5" customHeight="1" hidden="1">
      <c r="A13" s="1059">
        <f t="shared" si="0"/>
        <v>77</v>
      </c>
      <c r="B13" s="1067"/>
      <c r="C13" s="846" t="s">
        <v>524</v>
      </c>
      <c r="D13" s="1025"/>
      <c r="E13" s="1025"/>
      <c r="F13" s="1025"/>
      <c r="G13" s="1025"/>
      <c r="H13" s="850"/>
      <c r="I13" s="850"/>
      <c r="J13" s="850"/>
      <c r="K13" s="1025"/>
      <c r="L13" s="851">
        <v>0</v>
      </c>
      <c r="M13" s="1089"/>
      <c r="Q13"/>
      <c r="X13" s="829"/>
      <c r="Y13" s="829"/>
      <c r="AA13" s="852">
        <f>Investition!K54-J13</f>
        <v>0</v>
      </c>
    </row>
    <row r="14" spans="1:27" ht="16.5" customHeight="1">
      <c r="A14" s="1059">
        <f>A12+1</f>
        <v>77</v>
      </c>
      <c r="B14" s="1067"/>
      <c r="C14" s="1069" t="s">
        <v>525</v>
      </c>
      <c r="D14" s="1025"/>
      <c r="E14" s="1025"/>
      <c r="F14" s="1025"/>
      <c r="G14" s="1025"/>
      <c r="H14" s="850"/>
      <c r="I14" s="850"/>
      <c r="J14" s="850"/>
      <c r="K14" s="1025"/>
      <c r="L14" s="853"/>
      <c r="M14" s="1089"/>
      <c r="Q14"/>
      <c r="X14" s="829"/>
      <c r="Y14" s="829"/>
      <c r="AA14" t="s">
        <v>526</v>
      </c>
    </row>
    <row r="15" spans="1:27" ht="16.5" customHeight="1">
      <c r="A15" s="1059">
        <f t="shared" si="0"/>
        <v>78</v>
      </c>
      <c r="B15" s="1067"/>
      <c r="C15" s="854" t="s">
        <v>527</v>
      </c>
      <c r="D15" s="855"/>
      <c r="E15" s="855"/>
      <c r="F15" s="855"/>
      <c r="G15" s="855"/>
      <c r="H15" s="855"/>
      <c r="I15" s="855"/>
      <c r="J15" s="855"/>
      <c r="K15" s="855"/>
      <c r="L15" s="1066">
        <f>SUM(L9:L14)</f>
        <v>0</v>
      </c>
      <c r="M15" s="1089"/>
      <c r="O15" s="1205" t="s">
        <v>528</v>
      </c>
      <c r="P15" s="1215"/>
      <c r="Q15" s="1206"/>
      <c r="R15" s="1205" t="s">
        <v>529</v>
      </c>
      <c r="S15" s="1206"/>
      <c r="T15" s="1205" t="s">
        <v>530</v>
      </c>
      <c r="U15" s="1206"/>
      <c r="V15" s="1093" t="s">
        <v>531</v>
      </c>
      <c r="W15" s="1097"/>
      <c r="X15" s="829"/>
      <c r="Y15" s="829"/>
      <c r="AA15" t="s">
        <v>532</v>
      </c>
    </row>
    <row r="16" spans="1:25" ht="23.25" customHeight="1">
      <c r="A16" s="1059">
        <f t="shared" si="0"/>
        <v>79</v>
      </c>
      <c r="B16" s="1070"/>
      <c r="C16" s="857"/>
      <c r="D16" s="858"/>
      <c r="E16" s="858"/>
      <c r="F16" s="858"/>
      <c r="G16" s="1211" t="s">
        <v>533</v>
      </c>
      <c r="H16" s="1211"/>
      <c r="I16" s="859" t="s">
        <v>534</v>
      </c>
      <c r="J16" s="859" t="s">
        <v>535</v>
      </c>
      <c r="K16" s="859" t="s">
        <v>536</v>
      </c>
      <c r="L16" s="860"/>
      <c r="M16" s="1089"/>
      <c r="O16" s="1212" t="s">
        <v>537</v>
      </c>
      <c r="P16" s="1213"/>
      <c r="Q16" s="1214"/>
      <c r="R16" s="1207" t="s">
        <v>538</v>
      </c>
      <c r="S16" s="1208"/>
      <c r="T16" s="1094" t="s">
        <v>230</v>
      </c>
      <c r="U16" s="1095" t="s">
        <v>441</v>
      </c>
      <c r="V16" s="1096" t="s">
        <v>457</v>
      </c>
      <c r="W16" s="861"/>
      <c r="X16" s="829" t="s">
        <v>539</v>
      </c>
      <c r="Y16" s="829"/>
    </row>
    <row r="17" spans="1:23" ht="16.5" customHeight="1">
      <c r="A17" s="1059">
        <f t="shared" si="0"/>
        <v>80</v>
      </c>
      <c r="B17" s="856"/>
      <c r="C17" s="862" t="s">
        <v>540</v>
      </c>
      <c r="D17" s="807"/>
      <c r="E17" s="807"/>
      <c r="F17" s="807"/>
      <c r="G17" s="990">
        <v>25</v>
      </c>
      <c r="H17" s="991">
        <v>25</v>
      </c>
      <c r="I17" s="992">
        <f>Investition!M54-Investition!M22-Investition!M33</f>
        <v>0</v>
      </c>
      <c r="J17" s="993">
        <f>ROUNDDOWN(I17*H17%,0)</f>
        <v>0</v>
      </c>
      <c r="K17" s="994"/>
      <c r="L17" s="863">
        <f>+J17-K17</f>
        <v>0</v>
      </c>
      <c r="M17" s="1089"/>
      <c r="O17" s="1093" t="s">
        <v>541</v>
      </c>
      <c r="P17" s="1216">
        <v>30000</v>
      </c>
      <c r="Q17" s="1217"/>
      <c r="R17" s="1096" t="s">
        <v>542</v>
      </c>
      <c r="S17" s="864">
        <v>200000</v>
      </c>
      <c r="T17" s="861">
        <v>40</v>
      </c>
      <c r="U17" s="861">
        <v>400000</v>
      </c>
      <c r="V17" s="1096" t="s">
        <v>460</v>
      </c>
      <c r="W17" s="1098"/>
    </row>
    <row r="18" spans="1:25" ht="16.5" customHeight="1">
      <c r="A18" s="1059">
        <f t="shared" si="0"/>
        <v>81</v>
      </c>
      <c r="B18" s="856"/>
      <c r="C18" s="1071" t="s">
        <v>567</v>
      </c>
      <c r="D18" s="1068"/>
      <c r="E18" s="1068"/>
      <c r="F18" s="1068"/>
      <c r="G18" s="997">
        <v>10</v>
      </c>
      <c r="H18" s="995">
        <v>10</v>
      </c>
      <c r="I18" s="998">
        <f>SUMIF(Investition!N11:N35,"a",Investition!M11:M35)+SUMIF(Investition!N11:N35,"u",Investition!M11:M35)</f>
        <v>0</v>
      </c>
      <c r="J18" s="999">
        <f>ROUNDDOWN(I18*H18%,0)</f>
        <v>0</v>
      </c>
      <c r="K18" s="996"/>
      <c r="L18" s="863">
        <f>+J18-K18</f>
        <v>0</v>
      </c>
      <c r="M18" s="1089"/>
      <c r="O18" s="1099" t="s">
        <v>542</v>
      </c>
      <c r="P18" s="1216">
        <v>2000000</v>
      </c>
      <c r="Q18" s="1217"/>
      <c r="X18" s="829"/>
      <c r="Y18" s="829"/>
    </row>
    <row r="19" spans="1:20" ht="16.5" customHeight="1">
      <c r="A19" s="1059">
        <f t="shared" si="0"/>
        <v>82</v>
      </c>
      <c r="B19" s="856"/>
      <c r="C19" s="1069" t="s">
        <v>543</v>
      </c>
      <c r="D19" s="1061"/>
      <c r="E19" s="1061"/>
      <c r="F19" s="1061"/>
      <c r="G19" s="997">
        <v>25</v>
      </c>
      <c r="H19" s="995">
        <v>25</v>
      </c>
      <c r="I19" s="998">
        <f>Investition!M22</f>
        <v>0</v>
      </c>
      <c r="J19" s="999">
        <f>ROUNDDOWN(I19*H19%,0)</f>
        <v>0</v>
      </c>
      <c r="K19" s="996"/>
      <c r="L19" s="863">
        <f>+J19-K19</f>
        <v>0</v>
      </c>
      <c r="M19" s="1089"/>
      <c r="O19" s="866"/>
      <c r="P19" s="866"/>
      <c r="Q19" s="866"/>
      <c r="S19" s="1096" t="s">
        <v>544</v>
      </c>
      <c r="T19" s="1096"/>
    </row>
    <row r="20" spans="1:27" ht="16.5" customHeight="1">
      <c r="A20" s="1059">
        <f t="shared" si="0"/>
        <v>83</v>
      </c>
      <c r="B20" s="856"/>
      <c r="C20" s="1069" t="s">
        <v>545</v>
      </c>
      <c r="D20" s="1068"/>
      <c r="E20" s="1068"/>
      <c r="F20" s="1068"/>
      <c r="G20" s="997">
        <v>10</v>
      </c>
      <c r="H20" s="995">
        <v>10</v>
      </c>
      <c r="I20" s="998">
        <f>MIN(Investition!$M$54,S17)</f>
        <v>0</v>
      </c>
      <c r="J20" s="999">
        <f>MIN(ROUNDDOWN(I20*H20%,0),ROUNDDOWN(S17*H20%,0))</f>
        <v>0</v>
      </c>
      <c r="K20" s="996"/>
      <c r="L20" s="867">
        <f>+J20-K20</f>
        <v>0</v>
      </c>
      <c r="M20" s="1089"/>
      <c r="O20" s="866"/>
      <c r="P20" s="866"/>
      <c r="Q20" s="866"/>
      <c r="S20" s="1096" t="s">
        <v>546</v>
      </c>
      <c r="T20" s="1096" t="s">
        <v>547</v>
      </c>
      <c r="X20" s="829"/>
      <c r="Y20" s="829"/>
      <c r="AA20" s="629"/>
    </row>
    <row r="21" spans="1:25" ht="16.5" customHeight="1">
      <c r="A21" s="1059">
        <f t="shared" si="0"/>
        <v>84</v>
      </c>
      <c r="B21" s="856"/>
      <c r="C21" s="1069" t="s">
        <v>548</v>
      </c>
      <c r="D21" s="1068"/>
      <c r="E21" s="1068"/>
      <c r="F21" s="1068"/>
      <c r="G21" s="1209" t="s">
        <v>566</v>
      </c>
      <c r="H21" s="1210"/>
      <c r="I21" s="1076">
        <f>Investition!O30</f>
        <v>0</v>
      </c>
      <c r="J21" s="1000">
        <f>T27</f>
        <v>0</v>
      </c>
      <c r="K21" s="996"/>
      <c r="L21" s="863">
        <f>+J21-K21</f>
        <v>0</v>
      </c>
      <c r="M21" s="1089"/>
      <c r="O21" s="866"/>
      <c r="P21" s="866"/>
      <c r="Q21" s="866"/>
      <c r="R21" s="1100" t="s">
        <v>549</v>
      </c>
      <c r="S21" s="869">
        <v>0</v>
      </c>
      <c r="T21" s="869">
        <v>0</v>
      </c>
      <c r="X21" s="829"/>
      <c r="Y21" s="829"/>
    </row>
    <row r="22" spans="1:27" ht="16.5" customHeight="1">
      <c r="A22" s="1059">
        <f t="shared" si="0"/>
        <v>85</v>
      </c>
      <c r="B22" s="856"/>
      <c r="C22" s="1069" t="s">
        <v>550</v>
      </c>
      <c r="D22" s="1068"/>
      <c r="E22" s="1068"/>
      <c r="F22" s="1068"/>
      <c r="G22" s="1068"/>
      <c r="H22" s="1072"/>
      <c r="I22" s="1073"/>
      <c r="J22" s="951"/>
      <c r="K22" s="996"/>
      <c r="L22" s="863">
        <f>-J22</f>
        <v>0</v>
      </c>
      <c r="M22" s="1089"/>
      <c r="O22" s="872"/>
      <c r="P22" s="872"/>
      <c r="Q22" s="866"/>
      <c r="R22" s="1100" t="s">
        <v>549</v>
      </c>
      <c r="S22" s="870">
        <v>100000</v>
      </c>
      <c r="T22" s="870">
        <v>3500</v>
      </c>
      <c r="U22" s="829"/>
      <c r="X22" s="829"/>
      <c r="Y22" s="829"/>
      <c r="AA22" s="629"/>
    </row>
    <row r="23" spans="1:25" ht="16.5" customHeight="1">
      <c r="A23" s="1059">
        <f t="shared" si="0"/>
        <v>86</v>
      </c>
      <c r="B23" s="856"/>
      <c r="C23" s="1069" t="s">
        <v>551</v>
      </c>
      <c r="D23" s="1068"/>
      <c r="E23" s="1068"/>
      <c r="F23" s="1068"/>
      <c r="G23" s="1068"/>
      <c r="H23" s="1074"/>
      <c r="I23" s="1075"/>
      <c r="J23" s="952"/>
      <c r="K23" s="1001"/>
      <c r="L23" s="874">
        <f>L24-SUM(L17:L22)</f>
        <v>0</v>
      </c>
      <c r="M23" s="1089"/>
      <c r="N23" t="s">
        <v>552</v>
      </c>
      <c r="P23" s="866"/>
      <c r="Q23" s="866"/>
      <c r="R23" s="1100" t="s">
        <v>549</v>
      </c>
      <c r="S23" s="870">
        <v>150000</v>
      </c>
      <c r="T23" s="870">
        <v>5500</v>
      </c>
      <c r="U23" s="829"/>
      <c r="X23" s="829"/>
      <c r="Y23" s="829"/>
    </row>
    <row r="24" spans="1:25" ht="16.5" customHeight="1">
      <c r="A24" s="1059">
        <f t="shared" si="0"/>
        <v>87</v>
      </c>
      <c r="B24" s="856"/>
      <c r="C24" s="875" t="s">
        <v>553</v>
      </c>
      <c r="D24" s="876"/>
      <c r="E24" s="876"/>
      <c r="F24" s="876"/>
      <c r="G24" s="876"/>
      <c r="H24" s="877"/>
      <c r="I24" s="877"/>
      <c r="J24" s="878"/>
      <c r="K24" s="879">
        <f>SUM(K17:K22)</f>
        <v>0</v>
      </c>
      <c r="L24" s="880">
        <f>MIN(SUM(L17:L22),U17-J22,Investition!M54*T17%)</f>
        <v>0</v>
      </c>
      <c r="M24" s="1089"/>
      <c r="N24" s="881">
        <f>IF(Investition!M37&lt;&gt;0,ROUND(L24/Investition!M37%,1)+IF(G7="ja",W16,0),0)</f>
        <v>0</v>
      </c>
      <c r="O24" t="str">
        <f>"% (max."&amp;T17&amp;"%)"</f>
        <v>% (max.40%)</v>
      </c>
      <c r="P24" s="866"/>
      <c r="Q24" s="866"/>
      <c r="R24" s="1100" t="s">
        <v>549</v>
      </c>
      <c r="S24" s="870">
        <v>250000</v>
      </c>
      <c r="T24" s="870">
        <v>8000</v>
      </c>
      <c r="U24" s="829"/>
      <c r="Y24" s="829"/>
    </row>
    <row r="25" spans="1:25" ht="16.5" customHeight="1">
      <c r="A25" s="1059">
        <f t="shared" si="0"/>
        <v>88</v>
      </c>
      <c r="B25" s="856"/>
      <c r="C25" s="857"/>
      <c r="D25" s="858"/>
      <c r="E25" s="858"/>
      <c r="F25" s="858"/>
      <c r="G25" s="858"/>
      <c r="H25" s="883" t="s">
        <v>555</v>
      </c>
      <c r="I25" s="883"/>
      <c r="J25" s="883" t="s">
        <v>556</v>
      </c>
      <c r="K25" s="884"/>
      <c r="L25" s="860"/>
      <c r="M25" s="1089"/>
      <c r="N25" s="885">
        <f>IF(N24&gt;T17,"Subventionswert um "&amp;ROUND(N24-T17,1)&amp;" % überschritten!","")</f>
      </c>
      <c r="P25" s="866"/>
      <c r="Q25" s="866"/>
      <c r="R25" s="1100" t="s">
        <v>549</v>
      </c>
      <c r="S25" s="870">
        <v>500000</v>
      </c>
      <c r="T25" s="870">
        <v>9000</v>
      </c>
      <c r="U25" s="829"/>
      <c r="X25" s="829"/>
      <c r="Y25" s="829"/>
    </row>
    <row r="26" spans="1:25" ht="16.5" customHeight="1">
      <c r="A26" s="1059">
        <f t="shared" si="0"/>
        <v>89</v>
      </c>
      <c r="B26" s="842"/>
      <c r="C26" s="987" t="s">
        <v>558</v>
      </c>
      <c r="D26" s="979"/>
      <c r="E26" s="979"/>
      <c r="F26" s="979"/>
      <c r="G26" s="979"/>
      <c r="H26" s="981"/>
      <c r="I26" s="979"/>
      <c r="J26" s="984"/>
      <c r="K26" s="1077"/>
      <c r="L26" s="849"/>
      <c r="M26" s="1089"/>
      <c r="N26" s="865">
        <f>IF(Investition!$M$37&gt;$P$18,"Höchstbetrag","")</f>
      </c>
      <c r="O26" s="882"/>
      <c r="P26" s="882"/>
      <c r="Q26" s="882"/>
      <c r="R26" s="1101" t="s">
        <v>554</v>
      </c>
      <c r="S26" s="1102">
        <f>IF(I21&gt;S25,S25,IF(I21&gt;S24,S24,IF(I21&gt;S23,S23,IF(I21&gt;S22,S22,IF(I21&lt;=S21,0,0)))))</f>
        <v>0</v>
      </c>
      <c r="T26" s="1103">
        <f>VLOOKUP($S$26,$S$21:$T$25,2,TRUE)</f>
        <v>0</v>
      </c>
      <c r="U26" s="829"/>
      <c r="V26" s="829"/>
      <c r="W26" s="829"/>
      <c r="X26" s="829"/>
      <c r="Y26" s="829"/>
    </row>
    <row r="27" spans="1:25" ht="15" customHeight="1">
      <c r="A27" s="1059">
        <f t="shared" si="0"/>
        <v>90</v>
      </c>
      <c r="B27" s="842"/>
      <c r="C27" s="988" t="s">
        <v>559</v>
      </c>
      <c r="D27" s="807"/>
      <c r="E27" s="807"/>
      <c r="F27" s="807"/>
      <c r="G27" s="807"/>
      <c r="H27" s="982"/>
      <c r="I27" s="807"/>
      <c r="J27" s="985"/>
      <c r="K27" s="807"/>
      <c r="L27" s="849"/>
      <c r="M27" s="1089"/>
      <c r="N27" s="868">
        <f>IF(Investition!$M$37&gt;$P$18,"zuw.fähiges Investi-","")</f>
      </c>
      <c r="Q27" s="882"/>
      <c r="R27" s="1061"/>
      <c r="S27" s="1101" t="s">
        <v>557</v>
      </c>
      <c r="T27" s="1103">
        <f>IF(Investition!J33=0,0,IF(Investition!O30*Investition!O31%&gt;(Investition!J33-Investition!K33),0,MIN(T26,ROUND(Investition!J33/(1+Investition!O4%)-Investition!O30*Investition!O31%,0))))</f>
        <v>0</v>
      </c>
      <c r="V27" s="829"/>
      <c r="W27" s="829"/>
      <c r="X27" s="829"/>
      <c r="Y27" s="829"/>
    </row>
    <row r="28" spans="1:25" ht="16.5" customHeight="1">
      <c r="A28" s="1059">
        <f t="shared" si="0"/>
        <v>91</v>
      </c>
      <c r="B28" s="842"/>
      <c r="C28" s="988" t="s">
        <v>560</v>
      </c>
      <c r="D28" s="807"/>
      <c r="E28" s="807"/>
      <c r="F28" s="807"/>
      <c r="G28" s="807"/>
      <c r="H28" s="982"/>
      <c r="I28" s="807"/>
      <c r="J28" s="985"/>
      <c r="K28" s="807"/>
      <c r="L28" s="849"/>
      <c r="M28" s="1089"/>
      <c r="N28" s="868">
        <f>IF(Investition!$M$37&gt;$P$18,"tionsvolumen um","")</f>
      </c>
      <c r="O28" s="882"/>
      <c r="P28" s="882"/>
      <c r="Q28" s="882"/>
      <c r="R28" s="1061"/>
      <c r="S28" s="1061"/>
      <c r="T28" s="1061"/>
      <c r="V28" s="829"/>
      <c r="W28" s="829"/>
      <c r="X28" s="829"/>
      <c r="Y28" s="829"/>
    </row>
    <row r="29" spans="1:25" ht="16.5" customHeight="1">
      <c r="A29" s="1059">
        <f t="shared" si="0"/>
        <v>92</v>
      </c>
      <c r="B29" s="842"/>
      <c r="C29" s="989" t="s">
        <v>561</v>
      </c>
      <c r="D29" s="887"/>
      <c r="E29" s="887"/>
      <c r="F29" s="887"/>
      <c r="G29" s="887"/>
      <c r="H29" s="983"/>
      <c r="I29" s="887"/>
      <c r="J29" s="986"/>
      <c r="K29" s="887"/>
      <c r="L29" s="849"/>
      <c r="M29" s="1089"/>
      <c r="N29" s="871">
        <f>IF(Investition!$M$37&gt;$P$18,ROUND(Investition!$M$37-$P$18,0),"")</f>
      </c>
      <c r="O29" s="882"/>
      <c r="P29" s="882"/>
      <c r="Q29" s="886"/>
      <c r="V29" s="829"/>
      <c r="W29" s="829"/>
      <c r="X29" s="829"/>
      <c r="Y29" s="829"/>
    </row>
    <row r="30" spans="1:25" ht="16.5" customHeight="1">
      <c r="A30" s="1059">
        <f t="shared" si="0"/>
        <v>93</v>
      </c>
      <c r="B30" s="1078" t="s">
        <v>562</v>
      </c>
      <c r="C30" s="888"/>
      <c r="D30" s="888"/>
      <c r="E30" s="888"/>
      <c r="F30" s="888"/>
      <c r="G30" s="888"/>
      <c r="H30" s="888"/>
      <c r="I30" s="888"/>
      <c r="J30" s="888"/>
      <c r="K30" s="888"/>
      <c r="L30" s="889">
        <f>SUM(L26:L29)</f>
        <v>0</v>
      </c>
      <c r="M30" s="1089"/>
      <c r="N30" s="873">
        <f>IF(Investition!$M$37&gt;$P$18,"Euro überschritten","")</f>
      </c>
      <c r="O30" s="866"/>
      <c r="P30" s="886"/>
      <c r="Q30" s="886"/>
      <c r="S30" s="827"/>
      <c r="T30" s="829"/>
      <c r="U30" s="829"/>
      <c r="V30" s="829"/>
      <c r="W30" s="829"/>
      <c r="X30" s="829"/>
      <c r="Y30" s="829"/>
    </row>
    <row r="31" spans="1:25" ht="16.5" customHeight="1" thickBot="1">
      <c r="A31" s="1059">
        <f t="shared" si="0"/>
        <v>94</v>
      </c>
      <c r="B31" s="1079" t="s">
        <v>563</v>
      </c>
      <c r="C31" s="1079"/>
      <c r="D31" s="1079"/>
      <c r="E31" s="1079"/>
      <c r="F31" s="1079"/>
      <c r="G31" s="1079"/>
      <c r="H31" s="1079"/>
      <c r="I31" s="1079"/>
      <c r="J31" s="1079"/>
      <c r="K31" s="1079"/>
      <c r="L31" s="890">
        <f>L30+L24+L15+L8</f>
        <v>0</v>
      </c>
      <c r="M31" s="1089"/>
      <c r="O31" s="866"/>
      <c r="P31" s="886"/>
      <c r="Q31" s="886"/>
      <c r="S31" s="827"/>
      <c r="T31" s="829"/>
      <c r="U31" s="829"/>
      <c r="V31" s="829"/>
      <c r="W31" s="829"/>
      <c r="X31" s="829"/>
      <c r="Y31" s="829"/>
    </row>
    <row r="32" spans="1:25" ht="16.5" customHeight="1" thickBot="1">
      <c r="A32" s="1059">
        <f t="shared" si="0"/>
        <v>95</v>
      </c>
      <c r="B32" s="1080" t="s">
        <v>564</v>
      </c>
      <c r="C32" s="1081"/>
      <c r="D32" s="1082"/>
      <c r="E32" s="1082"/>
      <c r="F32" s="1082"/>
      <c r="G32" s="1083"/>
      <c r="H32" s="1084"/>
      <c r="I32" s="1084"/>
      <c r="J32" s="1085" t="str">
        <f>" (2 InvBed , Z. "&amp;Investition!B54&amp;")"</f>
        <v> (2 InvBed , Z. 88)</v>
      </c>
      <c r="K32" s="1086"/>
      <c r="L32" s="891">
        <f>SUM(Investition!J54:J54)</f>
        <v>0</v>
      </c>
      <c r="M32" s="1090"/>
      <c r="N32" s="866"/>
      <c r="O32" s="866"/>
      <c r="S32" s="827"/>
      <c r="T32" s="829"/>
      <c r="U32" s="829"/>
      <c r="V32" s="829"/>
      <c r="W32" s="829"/>
      <c r="X32" s="829"/>
      <c r="Y32" s="829"/>
    </row>
    <row r="33" spans="1:25" ht="16.5" customHeight="1" thickBot="1">
      <c r="A33" s="1060">
        <f t="shared" si="0"/>
        <v>96</v>
      </c>
      <c r="B33" s="1087" t="s">
        <v>568</v>
      </c>
      <c r="C33" s="1087"/>
      <c r="D33" s="1087"/>
      <c r="E33" s="1087"/>
      <c r="F33" s="1087"/>
      <c r="G33" s="1087"/>
      <c r="H33" s="1087"/>
      <c r="I33" s="1087"/>
      <c r="J33" s="1087"/>
      <c r="K33" s="1087"/>
      <c r="L33" s="891">
        <f>+L32-L24</f>
        <v>0</v>
      </c>
      <c r="M33" s="1091"/>
      <c r="N33" s="866"/>
      <c r="O33" s="866"/>
      <c r="S33" s="827"/>
      <c r="T33" s="829"/>
      <c r="U33" s="829"/>
      <c r="V33" s="829"/>
      <c r="W33" s="829"/>
      <c r="X33" s="829"/>
      <c r="Y33" s="829"/>
    </row>
    <row r="34" spans="2:20" ht="16.5" customHeight="1">
      <c r="B34" s="1061"/>
      <c r="C34" s="1061"/>
      <c r="D34" s="1061"/>
      <c r="E34" s="1061"/>
      <c r="F34" s="1061"/>
      <c r="G34" s="1061"/>
      <c r="H34" s="1061"/>
      <c r="I34" s="1061"/>
      <c r="J34" s="1061"/>
      <c r="K34" s="1061"/>
      <c r="L34" s="1061"/>
      <c r="N34" s="866"/>
      <c r="O34" s="866"/>
      <c r="S34" s="827"/>
      <c r="T34" s="829"/>
    </row>
    <row r="35" spans="2:20" ht="4.5" customHeight="1" thickBot="1">
      <c r="B35" s="1061"/>
      <c r="C35" s="1061"/>
      <c r="D35" s="1061"/>
      <c r="E35" s="1061"/>
      <c r="F35" s="1061"/>
      <c r="G35" s="1061"/>
      <c r="H35" s="1061"/>
      <c r="I35" s="1061"/>
      <c r="J35" s="1061"/>
      <c r="K35" s="1061"/>
      <c r="L35" s="1061"/>
      <c r="S35" s="827"/>
      <c r="T35" s="829"/>
    </row>
    <row r="36" spans="1:12" ht="18">
      <c r="A36" s="486"/>
      <c r="B36" s="590" t="s">
        <v>234</v>
      </c>
      <c r="C36" s="117"/>
      <c r="D36" s="118"/>
      <c r="E36" s="118"/>
      <c r="F36" s="118"/>
      <c r="G36" s="118"/>
      <c r="H36" s="118"/>
      <c r="I36" s="119"/>
      <c r="J36" s="120"/>
      <c r="K36" s="120"/>
      <c r="L36" s="587" t="s">
        <v>226</v>
      </c>
    </row>
    <row r="37" spans="1:12" ht="14.25">
      <c r="A37" s="913">
        <f>A33+1</f>
        <v>97</v>
      </c>
      <c r="B37" s="487" t="s">
        <v>235</v>
      </c>
      <c r="C37" s="2"/>
      <c r="D37" s="2"/>
      <c r="E37" s="2"/>
      <c r="F37" s="2"/>
      <c r="G37" s="4"/>
      <c r="H37" s="121">
        <v>5</v>
      </c>
      <c r="I37" s="503" t="str">
        <f>" % von Zeile "&amp;A33</f>
        <v> % von Zeile 96</v>
      </c>
      <c r="J37" s="2"/>
      <c r="K37" s="2"/>
      <c r="L37" s="113">
        <f>L33*H37%</f>
        <v>0</v>
      </c>
    </row>
    <row r="38" spans="1:12" ht="14.25">
      <c r="A38" s="913">
        <f aca="true" t="shared" si="1" ref="A38:A45">A37+1</f>
        <v>98</v>
      </c>
      <c r="B38" s="487" t="s">
        <v>364</v>
      </c>
      <c r="C38" s="2"/>
      <c r="D38" s="2"/>
      <c r="E38" s="2"/>
      <c r="F38" s="2"/>
      <c r="G38" s="4"/>
      <c r="H38" s="116">
        <v>3</v>
      </c>
      <c r="I38" s="503" t="str">
        <f>" % x 0,65 x Zeile "&amp;A15</f>
        <v> % x 0,65 x Zeile 78</v>
      </c>
      <c r="J38" s="2"/>
      <c r="K38" s="2"/>
      <c r="L38" s="113">
        <f>L15*H38%*0.65</f>
        <v>0</v>
      </c>
    </row>
    <row r="39" spans="1:12" ht="14.25">
      <c r="A39" s="913">
        <f t="shared" si="1"/>
        <v>99</v>
      </c>
      <c r="B39" s="487" t="str">
        <f>" Zinsansatz für "&amp;C26</f>
        <v> Zinsansatz für Darlehen 1-A</v>
      </c>
      <c r="C39" s="2"/>
      <c r="D39" s="2"/>
      <c r="E39" s="2"/>
      <c r="F39" s="2"/>
      <c r="G39" s="4"/>
      <c r="H39" s="502">
        <f>J26</f>
        <v>0</v>
      </c>
      <c r="I39" s="503" t="str">
        <f>" % x 0,65 x Zeile "&amp;A26</f>
        <v> % x 0,65 x Zeile 89</v>
      </c>
      <c r="J39" s="2"/>
      <c r="K39" s="2"/>
      <c r="L39" s="113">
        <f>L26*H39%*0.65</f>
        <v>0</v>
      </c>
    </row>
    <row r="40" spans="1:12" ht="14.25">
      <c r="A40" s="913">
        <f t="shared" si="1"/>
        <v>100</v>
      </c>
      <c r="B40" s="487" t="str">
        <f>" Zinsansatz für "&amp;C27</f>
        <v> Zinsansatz für Darlehen 2-A</v>
      </c>
      <c r="C40" s="2"/>
      <c r="D40" s="2"/>
      <c r="E40" s="2"/>
      <c r="F40" s="2"/>
      <c r="G40" s="4"/>
      <c r="H40" s="502">
        <f>J27</f>
        <v>0</v>
      </c>
      <c r="I40" s="503" t="str">
        <f>" % x 0,65 x Zeile "&amp;A27</f>
        <v> % x 0,65 x Zeile 90</v>
      </c>
      <c r="J40" s="2"/>
      <c r="K40" s="2"/>
      <c r="L40" s="113">
        <f>L27*H40%*0.65</f>
        <v>0</v>
      </c>
    </row>
    <row r="41" spans="1:12" ht="14.25">
      <c r="A41" s="913">
        <f t="shared" si="1"/>
        <v>101</v>
      </c>
      <c r="B41" s="487" t="str">
        <f>" Zinsansatz für "&amp;C28</f>
        <v> Zinsansatz für Darlehen 3-A</v>
      </c>
      <c r="C41" s="2"/>
      <c r="D41" s="2"/>
      <c r="E41" s="2"/>
      <c r="F41" s="2"/>
      <c r="G41" s="4"/>
      <c r="H41" s="502">
        <f>J28</f>
        <v>0</v>
      </c>
      <c r="I41" s="503" t="str">
        <f>" % x 0,65 x Zeile "&amp;A28</f>
        <v> % x 0,65 x Zeile 91</v>
      </c>
      <c r="J41" s="2"/>
      <c r="K41" s="2"/>
      <c r="L41" s="113">
        <f>L28*H41%*0.65</f>
        <v>0</v>
      </c>
    </row>
    <row r="42" spans="1:12" ht="14.25">
      <c r="A42" s="913">
        <f t="shared" si="1"/>
        <v>102</v>
      </c>
      <c r="B42" s="487" t="str">
        <f>" Zinsansatz für "&amp;C29</f>
        <v> Zinsansatz für Darlehen 4-A</v>
      </c>
      <c r="C42" s="2"/>
      <c r="D42" s="2"/>
      <c r="E42" s="2"/>
      <c r="F42" s="2"/>
      <c r="G42" s="4"/>
      <c r="H42" s="502">
        <f>J29</f>
        <v>0</v>
      </c>
      <c r="I42" s="503" t="str">
        <f>" % x 0,65 x Zeile "&amp;A29</f>
        <v> % x 0,65 x Zeile 92</v>
      </c>
      <c r="J42" s="2"/>
      <c r="K42" s="2"/>
      <c r="L42" s="113">
        <f>L29*H42%*0.65</f>
        <v>0</v>
      </c>
    </row>
    <row r="43" spans="1:12" ht="15" thickBot="1">
      <c r="A43" s="913">
        <f t="shared" si="1"/>
        <v>103</v>
      </c>
      <c r="B43" s="487" t="s">
        <v>571</v>
      </c>
      <c r="C43" s="2"/>
      <c r="D43" s="2"/>
      <c r="E43" s="2"/>
      <c r="F43" s="2"/>
      <c r="G43" s="4"/>
      <c r="H43" s="122">
        <v>1</v>
      </c>
      <c r="I43" s="503" t="str">
        <f>" % von Zeile "&amp;Investition!B25&amp;" (Nettobaukosten Blatt Investition)"</f>
        <v> % von Zeile 59 (Nettobaukosten Blatt Investition)</v>
      </c>
      <c r="J43" s="2"/>
      <c r="K43" s="2"/>
      <c r="L43" s="113">
        <f>(Investition!J25-Investition!K25)*H43%</f>
        <v>0</v>
      </c>
    </row>
    <row r="44" spans="1:12" ht="16.5" thickBot="1" thickTop="1">
      <c r="A44" s="948">
        <f t="shared" si="1"/>
        <v>104</v>
      </c>
      <c r="B44" s="489" t="s">
        <v>181</v>
      </c>
      <c r="C44" s="490"/>
      <c r="D44" s="490"/>
      <c r="E44" s="490"/>
      <c r="F44" s="490"/>
      <c r="G44" s="490"/>
      <c r="H44" s="490"/>
      <c r="I44" s="490"/>
      <c r="J44" s="490"/>
      <c r="K44" s="490"/>
      <c r="L44" s="123">
        <f>SUM(L37:L43)</f>
        <v>0</v>
      </c>
    </row>
    <row r="45" spans="1:12" ht="15.75" thickBot="1" thickTop="1">
      <c r="A45" s="917">
        <f t="shared" si="1"/>
        <v>105</v>
      </c>
      <c r="B45" s="491" t="s">
        <v>367</v>
      </c>
      <c r="C45" s="12"/>
      <c r="D45" s="12"/>
      <c r="E45" s="12"/>
      <c r="F45" s="12"/>
      <c r="G45" s="12"/>
      <c r="H45" s="12"/>
      <c r="I45" s="12"/>
      <c r="J45" s="12"/>
      <c r="K45" s="12"/>
      <c r="L45" s="124">
        <f>IF(L31=0,0,L44/L31%)</f>
        <v>0</v>
      </c>
    </row>
    <row r="46" spans="2:12" ht="15" thickBot="1">
      <c r="B46" s="1061"/>
      <c r="C46" s="1061"/>
      <c r="D46" s="1061"/>
      <c r="E46" s="1092"/>
      <c r="F46" s="1061"/>
      <c r="G46" s="1061"/>
      <c r="H46" s="1061"/>
      <c r="I46" s="1061"/>
      <c r="J46" s="1061"/>
      <c r="K46" s="1061"/>
      <c r="L46" s="1061"/>
    </row>
    <row r="47" spans="1:12" ht="18">
      <c r="A47" s="485"/>
      <c r="B47" s="953" t="s">
        <v>232</v>
      </c>
      <c r="C47" s="954"/>
      <c r="D47" s="955"/>
      <c r="E47" s="980" t="s">
        <v>273</v>
      </c>
      <c r="F47" s="1224" t="s">
        <v>233</v>
      </c>
      <c r="G47" s="1225"/>
      <c r="H47" s="957" t="s">
        <v>399</v>
      </c>
      <c r="I47" s="956" t="s">
        <v>177</v>
      </c>
      <c r="J47" s="956" t="s">
        <v>178</v>
      </c>
      <c r="K47" s="958" t="s">
        <v>177</v>
      </c>
      <c r="L47" s="959" t="s">
        <v>179</v>
      </c>
    </row>
    <row r="48" spans="1:12" ht="14.25">
      <c r="A48" s="488"/>
      <c r="B48" s="960"/>
      <c r="C48" s="960"/>
      <c r="D48" s="960"/>
      <c r="E48" s="961" t="s">
        <v>107</v>
      </c>
      <c r="F48" s="1226" t="s">
        <v>226</v>
      </c>
      <c r="G48" s="1227"/>
      <c r="H48" s="962" t="s">
        <v>230</v>
      </c>
      <c r="I48" s="963" t="s">
        <v>230</v>
      </c>
      <c r="J48" s="963" t="s">
        <v>226</v>
      </c>
      <c r="K48" s="964" t="s">
        <v>226</v>
      </c>
      <c r="L48" s="965" t="s">
        <v>226</v>
      </c>
    </row>
    <row r="49" spans="1:12" ht="14.25">
      <c r="A49" s="936">
        <f>+A45+1</f>
        <v>106</v>
      </c>
      <c r="B49" s="966" t="str">
        <f>+C26</f>
        <v>Darlehen 1-A</v>
      </c>
      <c r="C49" s="967"/>
      <c r="D49" s="968"/>
      <c r="E49" s="969">
        <f>+H26</f>
        <v>0</v>
      </c>
      <c r="F49" s="1228">
        <f>+L26</f>
        <v>0</v>
      </c>
      <c r="G49" s="1229"/>
      <c r="H49" s="977">
        <f>+J26</f>
        <v>0</v>
      </c>
      <c r="I49" s="978">
        <f>IF(E49&lt;&gt;0,100/E49,0)</f>
        <v>0</v>
      </c>
      <c r="J49" s="969">
        <f>F49*H49%</f>
        <v>0</v>
      </c>
      <c r="K49" s="969">
        <f>F49*I49/100</f>
        <v>0</v>
      </c>
      <c r="L49" s="970">
        <f>J49+K49</f>
        <v>0</v>
      </c>
    </row>
    <row r="50" spans="1:12" ht="14.25">
      <c r="A50" s="936">
        <f>+A49+1</f>
        <v>107</v>
      </c>
      <c r="B50" s="966" t="str">
        <f>+C27</f>
        <v>Darlehen 2-A</v>
      </c>
      <c r="C50" s="967"/>
      <c r="D50" s="968"/>
      <c r="E50" s="969">
        <f>+H27</f>
        <v>0</v>
      </c>
      <c r="F50" s="1218">
        <f>+L27</f>
        <v>0</v>
      </c>
      <c r="G50" s="1219"/>
      <c r="H50" s="977">
        <f>+J27</f>
        <v>0</v>
      </c>
      <c r="I50" s="978">
        <f>IF(E50&lt;&gt;0,100/E50,0)</f>
        <v>0</v>
      </c>
      <c r="J50" s="969">
        <f>F50*H50%</f>
        <v>0</v>
      </c>
      <c r="K50" s="969">
        <f>F50*I50/100</f>
        <v>0</v>
      </c>
      <c r="L50" s="970">
        <f>J50+K50</f>
        <v>0</v>
      </c>
    </row>
    <row r="51" spans="1:12" ht="14.25">
      <c r="A51" s="936">
        <f>+A50+1</f>
        <v>108</v>
      </c>
      <c r="B51" s="966" t="str">
        <f>+C28</f>
        <v>Darlehen 3-A</v>
      </c>
      <c r="C51" s="967"/>
      <c r="D51" s="968"/>
      <c r="E51" s="969">
        <f>+H28</f>
        <v>0</v>
      </c>
      <c r="F51" s="1218">
        <f>+L28</f>
        <v>0</v>
      </c>
      <c r="G51" s="1219"/>
      <c r="H51" s="977">
        <f>+J28</f>
        <v>0</v>
      </c>
      <c r="I51" s="978">
        <f>IF(E51&lt;&gt;0,100/E51,0)</f>
        <v>0</v>
      </c>
      <c r="J51" s="969">
        <f>F51*H51%</f>
        <v>0</v>
      </c>
      <c r="K51" s="969">
        <f>F51*I51/100</f>
        <v>0</v>
      </c>
      <c r="L51" s="970">
        <f>J51+K51</f>
        <v>0</v>
      </c>
    </row>
    <row r="52" spans="1:12" ht="15" thickBot="1">
      <c r="A52" s="936">
        <f>+A51+1</f>
        <v>109</v>
      </c>
      <c r="B52" s="966" t="str">
        <f>+C29</f>
        <v>Darlehen 4-A</v>
      </c>
      <c r="C52" s="967"/>
      <c r="D52" s="968"/>
      <c r="E52" s="969">
        <f>+H29</f>
        <v>0</v>
      </c>
      <c r="F52" s="1220">
        <f>+L29</f>
        <v>0</v>
      </c>
      <c r="G52" s="1221"/>
      <c r="H52" s="977">
        <f>+J29</f>
        <v>0</v>
      </c>
      <c r="I52" s="978">
        <f>IF(E52&lt;&gt;0,100/E52,0)</f>
        <v>0</v>
      </c>
      <c r="J52" s="969">
        <f>F52*H52%</f>
        <v>0</v>
      </c>
      <c r="K52" s="969">
        <f>F52*I52/100</f>
        <v>0</v>
      </c>
      <c r="L52" s="970">
        <f>J52+K52</f>
        <v>0</v>
      </c>
    </row>
    <row r="53" spans="1:12" ht="16.5" thickBot="1" thickTop="1">
      <c r="A53" s="949">
        <f>+A52+1</f>
        <v>110</v>
      </c>
      <c r="B53" s="971" t="s">
        <v>180</v>
      </c>
      <c r="C53" s="971"/>
      <c r="D53" s="972"/>
      <c r="E53" s="972"/>
      <c r="F53" s="1222">
        <f>SUM(F49:F52)</f>
        <v>0</v>
      </c>
      <c r="G53" s="1223"/>
      <c r="H53" s="973"/>
      <c r="I53" s="973"/>
      <c r="J53" s="974">
        <f>SUM(J49:J52)</f>
        <v>0</v>
      </c>
      <c r="K53" s="975">
        <f>SUM(K49:K52)</f>
        <v>0</v>
      </c>
      <c r="L53" s="976">
        <f>SUM(L49:L52)</f>
        <v>0</v>
      </c>
    </row>
    <row r="54" ht="15" thickTop="1"/>
  </sheetData>
  <sheetProtection password="9339" sheet="1" objects="1"/>
  <mergeCells count="16">
    <mergeCell ref="F51:G51"/>
    <mergeCell ref="F52:G52"/>
    <mergeCell ref="F53:G53"/>
    <mergeCell ref="F47:G47"/>
    <mergeCell ref="F48:G48"/>
    <mergeCell ref="F49:G49"/>
    <mergeCell ref="F50:G50"/>
    <mergeCell ref="R15:S15"/>
    <mergeCell ref="R16:S16"/>
    <mergeCell ref="G21:H21"/>
    <mergeCell ref="T15:U15"/>
    <mergeCell ref="G16:H16"/>
    <mergeCell ref="O16:Q16"/>
    <mergeCell ref="O15:Q15"/>
    <mergeCell ref="P17:Q17"/>
    <mergeCell ref="P18:Q18"/>
  </mergeCells>
  <conditionalFormatting sqref="L8">
    <cfRule type="cellIs" priority="1" dxfId="1" operator="greaterThan" stopIfTrue="1">
      <formula>$L$32*0.05</formula>
    </cfRule>
  </conditionalFormatting>
  <conditionalFormatting sqref="O23:P23 Q19:Q24 N26:N30 O19:P21">
    <cfRule type="expression" priority="2" dxfId="2" stopIfTrue="1">
      <formula>SUM($I$17:$I$20)&gt;$Q$18</formula>
    </cfRule>
  </conditionalFormatting>
  <conditionalFormatting sqref="F49:F52">
    <cfRule type="expression" priority="3" dxfId="3" stopIfTrue="1">
      <formula>AND(M25=TRUE,M26=TRUE,F49&lt;&gt;0)</formula>
    </cfRule>
  </conditionalFormatting>
  <dataValidations count="2">
    <dataValidation type="whole" allowBlank="1" showInputMessage="1" showErrorMessage="1" error="Dieser Betrag kann nicht höher sein als der Gesamtbetrag der Vorsteuer für die Maßnahme." sqref="I13">
      <formula1>0</formula1>
      <formula2>AA13</formula2>
    </dataValidation>
    <dataValidation type="list" allowBlank="1" showInputMessage="1" showErrorMessage="1" sqref="G7">
      <formula1>$V$16:$V$17</formula1>
    </dataValidation>
  </dataValidations>
  <hyperlinks>
    <hyperlink ref="O2:P2" r:id="rId1" display="Infos der L-Bank"/>
    <hyperlink ref="O4:P4" r:id="rId2" display="Infos der Lw. Rentenbank"/>
    <hyperlink ref="O4:R4" r:id="rId3" display="Infos Lw. Rentenbank"/>
    <hyperlink ref="O2:R2" r:id="rId4" display="Infos der L-Bank"/>
  </hyperlink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paperSize="9" scale="87" r:id="rId8"/>
  <headerFooter alignWithMargins="0">
    <oddFooter>&amp;L&amp;8LEL Schwäbisch Gmünd 
Abt. 2&amp;C&amp;8&amp;F
&amp;A&amp;R&amp;8&amp;D
&amp;"Arial,Fett"&amp;12Seite &amp;P</oddFooter>
  </headerFooter>
  <drawing r:id="rId7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P59"/>
  <sheetViews>
    <sheetView showGridLines="0" showZeros="0" workbookViewId="0" topLeftCell="A1">
      <pane ySplit="1" topLeftCell="BM8" activePane="bottomLeft" state="frozen"/>
      <selection pane="topLeft" activeCell="F72" sqref="F72"/>
      <selection pane="bottomLeft" activeCell="F72" sqref="F72"/>
    </sheetView>
  </sheetViews>
  <sheetFormatPr defaultColWidth="11.421875" defaultRowHeight="12.75"/>
  <cols>
    <col min="1" max="1" width="1.7109375" style="126" customWidth="1"/>
    <col min="2" max="3" width="4.7109375" style="126" customWidth="1"/>
    <col min="4" max="4" width="10.7109375" style="126" customWidth="1"/>
    <col min="5" max="5" width="25.7109375" style="126" customWidth="1"/>
    <col min="6" max="6" width="8.7109375" style="126" customWidth="1"/>
    <col min="7" max="8" width="10.7109375" style="126" customWidth="1"/>
    <col min="9" max="9" width="6.57421875" style="126" customWidth="1"/>
    <col min="10" max="10" width="17.28125" style="126" customWidth="1"/>
    <col min="11" max="11" width="4.7109375" style="126" customWidth="1"/>
    <col min="12" max="12" width="14.28125" style="126" hidden="1" customWidth="1"/>
    <col min="13" max="13" width="10.8515625" style="126" hidden="1" customWidth="1"/>
    <col min="14" max="14" width="10.421875" style="126" hidden="1" customWidth="1"/>
    <col min="15" max="16384" width="11.57421875" style="126" customWidth="1"/>
  </cols>
  <sheetData>
    <row r="1" spans="1:14" ht="36" customHeight="1">
      <c r="A1" s="147"/>
      <c r="B1" s="1163" t="s">
        <v>294</v>
      </c>
      <c r="C1" s="147"/>
      <c r="D1" s="1164"/>
      <c r="E1" s="1164"/>
      <c r="F1" s="1164"/>
      <c r="G1" s="1164"/>
      <c r="H1" s="1164"/>
      <c r="I1" s="1164"/>
      <c r="J1" s="128"/>
      <c r="K1" s="129"/>
      <c r="L1" s="128"/>
      <c r="M1" s="128"/>
      <c r="N1" s="128"/>
    </row>
    <row r="2" spans="1:11" ht="19.5" customHeight="1">
      <c r="A2" s="398"/>
      <c r="B2" s="23" t="s">
        <v>65</v>
      </c>
      <c r="C2" s="272"/>
      <c r="D2" s="23"/>
      <c r="E2" s="453">
        <f>'DB-Milchvieh'!D2</f>
        <v>0</v>
      </c>
      <c r="F2" s="137"/>
      <c r="G2" s="137"/>
      <c r="H2" s="137"/>
      <c r="I2" s="7"/>
      <c r="J2" s="399" t="s">
        <v>176</v>
      </c>
      <c r="K2" s="452">
        <f>Betriebsdaten!E6</f>
        <v>1</v>
      </c>
    </row>
    <row r="3" spans="3:10" ht="30" customHeight="1" thickBot="1">
      <c r="C3" s="128"/>
      <c r="D3" s="128"/>
      <c r="E3" s="128"/>
      <c r="F3" s="128"/>
      <c r="G3" s="128"/>
      <c r="H3" s="128"/>
      <c r="I3" s="128"/>
      <c r="J3" s="128"/>
    </row>
    <row r="4" spans="2:11" ht="7.5" customHeight="1">
      <c r="B4" s="400"/>
      <c r="C4" s="140"/>
      <c r="D4" s="141"/>
      <c r="E4" s="141"/>
      <c r="F4" s="141"/>
      <c r="G4" s="141"/>
      <c r="H4" s="141"/>
      <c r="I4" s="141"/>
      <c r="J4" s="141"/>
      <c r="K4" s="146"/>
    </row>
    <row r="5" spans="1:16" ht="18" customHeight="1">
      <c r="A5" s="147"/>
      <c r="B5" s="943">
        <f>Finanzierung!A53+1</f>
        <v>111</v>
      </c>
      <c r="C5" s="439" t="s">
        <v>250</v>
      </c>
      <c r="D5" s="402"/>
      <c r="E5" s="23"/>
      <c r="F5" s="23"/>
      <c r="G5" s="23"/>
      <c r="H5" s="20"/>
      <c r="I5" s="20"/>
      <c r="J5" s="444">
        <f>Finanzierung!L44</f>
        <v>0</v>
      </c>
      <c r="K5" s="403"/>
      <c r="L5" s="245"/>
      <c r="M5" s="7"/>
      <c r="N5" s="7"/>
      <c r="O5" s="7"/>
      <c r="P5" s="7"/>
    </row>
    <row r="6" spans="2:14" ht="7.5" customHeight="1">
      <c r="B6" s="913"/>
      <c r="C6" s="436"/>
      <c r="D6" s="23"/>
      <c r="E6" s="23"/>
      <c r="F6" s="23"/>
      <c r="G6" s="23"/>
      <c r="H6" s="20"/>
      <c r="I6" s="20"/>
      <c r="J6" s="1"/>
      <c r="K6" s="403"/>
      <c r="L6" s="404" t="s">
        <v>182</v>
      </c>
      <c r="M6" s="405" t="s">
        <v>183</v>
      </c>
      <c r="N6" s="406" t="s">
        <v>184</v>
      </c>
    </row>
    <row r="7" spans="2:14" ht="18" customHeight="1">
      <c r="B7" s="913">
        <f>B5+1</f>
        <v>112</v>
      </c>
      <c r="C7" s="437" t="s">
        <v>256</v>
      </c>
      <c r="D7" s="23"/>
      <c r="E7" s="23"/>
      <c r="F7" s="23"/>
      <c r="G7" s="23"/>
      <c r="H7" s="20"/>
      <c r="I7" s="20"/>
      <c r="J7" s="1"/>
      <c r="K7" s="403"/>
      <c r="L7" s="407"/>
      <c r="M7" s="215"/>
      <c r="N7" s="32"/>
    </row>
    <row r="8" spans="2:16" ht="18" customHeight="1">
      <c r="B8" s="913"/>
      <c r="C8" s="437" t="s">
        <v>251</v>
      </c>
      <c r="D8" s="402"/>
      <c r="E8" s="23"/>
      <c r="F8" s="23"/>
      <c r="G8" s="23"/>
      <c r="H8" s="20"/>
      <c r="I8" s="20"/>
      <c r="J8" s="445">
        <f>J5+ABS(Betriebsdaten!L53)</f>
        <v>0</v>
      </c>
      <c r="K8" s="403"/>
      <c r="L8" s="31" t="s">
        <v>185</v>
      </c>
      <c r="M8" s="215"/>
      <c r="N8" s="32"/>
      <c r="O8" s="7"/>
      <c r="P8" s="7"/>
    </row>
    <row r="9" spans="2:14" ht="7.5" customHeight="1">
      <c r="B9" s="913"/>
      <c r="C9" s="436"/>
      <c r="D9" s="23"/>
      <c r="E9" s="23"/>
      <c r="F9" s="23"/>
      <c r="G9" s="23"/>
      <c r="H9" s="20"/>
      <c r="I9" s="20"/>
      <c r="J9" s="1"/>
      <c r="K9" s="403"/>
      <c r="L9" s="31" t="s">
        <v>186</v>
      </c>
      <c r="M9" s="215" t="s">
        <v>55</v>
      </c>
      <c r="N9" s="32" t="s">
        <v>187</v>
      </c>
    </row>
    <row r="10" spans="2:14" ht="18" customHeight="1">
      <c r="B10" s="913">
        <f>B7+1</f>
        <v>113</v>
      </c>
      <c r="C10" s="435" t="s">
        <v>257</v>
      </c>
      <c r="D10" s="109"/>
      <c r="E10" s="23"/>
      <c r="F10" s="23"/>
      <c r="G10" s="23"/>
      <c r="H10" s="20"/>
      <c r="I10" s="20"/>
      <c r="J10" s="446">
        <f>(Betriebsdaten!M13*Betriebsdaten!M17)-Betriebsdaten!H11</f>
        <v>0</v>
      </c>
      <c r="K10" s="408"/>
      <c r="L10" s="409">
        <f>Betriebsdaten!M17</f>
        <v>0</v>
      </c>
      <c r="M10" s="410">
        <f>Betriebsdaten!M13-Betriebsdaten!H13</f>
        <v>0</v>
      </c>
      <c r="N10" s="411">
        <f>L10*M10+Betriebsdaten!H13*Betriebsdaten!M17-Betriebsdaten!H11</f>
        <v>0</v>
      </c>
    </row>
    <row r="11" spans="2:14" ht="7.5" customHeight="1" thickBot="1">
      <c r="B11" s="917"/>
      <c r="C11" s="171"/>
      <c r="D11" s="173"/>
      <c r="E11" s="173"/>
      <c r="F11" s="173"/>
      <c r="G11" s="173"/>
      <c r="H11" s="413"/>
      <c r="I11" s="413"/>
      <c r="J11" s="173"/>
      <c r="K11" s="212"/>
      <c r="L11" s="7"/>
      <c r="M11" s="7"/>
      <c r="N11" s="7"/>
    </row>
    <row r="12" spans="2:12" ht="24.75" customHeight="1" thickBot="1">
      <c r="B12" s="944"/>
      <c r="L12" s="414"/>
    </row>
    <row r="13" spans="2:11" ht="7.5" customHeight="1">
      <c r="B13" s="945"/>
      <c r="C13" s="140"/>
      <c r="D13" s="141"/>
      <c r="E13" s="141"/>
      <c r="F13" s="141"/>
      <c r="G13" s="141"/>
      <c r="H13" s="141"/>
      <c r="I13" s="141"/>
      <c r="J13" s="141"/>
      <c r="K13" s="146"/>
    </row>
    <row r="14" spans="1:11" ht="18" customHeight="1">
      <c r="A14" s="147"/>
      <c r="B14" s="913">
        <f>B10+1</f>
        <v>114</v>
      </c>
      <c r="C14" s="435" t="str">
        <f>" Der Deckungsbeitrag B je Kuh bei "&amp;L10&amp;" kg Leistung beträgt"</f>
        <v> Der Deckungsbeitrag B je Kuh bei 0 kg Leistung beträgt</v>
      </c>
      <c r="D14" s="109"/>
      <c r="E14" s="23"/>
      <c r="F14" s="20"/>
      <c r="H14" s="109"/>
      <c r="J14" s="588">
        <f>IF(Betriebsdaten!M17=0,0,'DB-Milchvieh'!F26)</f>
        <v>0</v>
      </c>
      <c r="K14" s="408"/>
    </row>
    <row r="15" spans="2:14" ht="7.5" customHeight="1">
      <c r="B15" s="913"/>
      <c r="C15" s="436"/>
      <c r="D15" s="23"/>
      <c r="E15" s="23"/>
      <c r="F15" s="23"/>
      <c r="G15" s="23"/>
      <c r="H15" s="20"/>
      <c r="I15" s="20"/>
      <c r="J15" s="1"/>
      <c r="K15" s="403"/>
      <c r="L15" s="415"/>
      <c r="M15" s="230"/>
      <c r="N15" s="230"/>
    </row>
    <row r="16" spans="2:14" ht="18" customHeight="1">
      <c r="B16" s="913"/>
      <c r="C16" s="437" t="s">
        <v>188</v>
      </c>
      <c r="D16" s="20"/>
      <c r="E16" s="23"/>
      <c r="F16" s="23"/>
      <c r="G16" s="23"/>
      <c r="H16" s="23"/>
      <c r="I16" s="23"/>
      <c r="J16" s="1"/>
      <c r="K16" s="153"/>
      <c r="L16" s="414"/>
      <c r="M16" s="130"/>
      <c r="N16" s="130"/>
    </row>
    <row r="17" spans="2:14" ht="7.5" customHeight="1">
      <c r="B17" s="913"/>
      <c r="C17" s="436"/>
      <c r="D17" s="23"/>
      <c r="E17" s="23"/>
      <c r="F17" s="23"/>
      <c r="G17" s="23"/>
      <c r="H17" s="20"/>
      <c r="I17" s="20"/>
      <c r="J17" s="1"/>
      <c r="K17" s="403"/>
      <c r="L17" s="415"/>
      <c r="M17" s="230"/>
      <c r="N17" s="230"/>
    </row>
    <row r="18" spans="2:14" ht="18" customHeight="1">
      <c r="B18" s="913">
        <f>B14+1</f>
        <v>115</v>
      </c>
      <c r="C18" s="438" t="s">
        <v>119</v>
      </c>
      <c r="D18" s="432" t="s">
        <v>254</v>
      </c>
      <c r="E18" s="388"/>
      <c r="G18" s="20"/>
      <c r="H18" s="434">
        <f>IF(Betriebsdaten!M17=0,0,Betriebsdaten!M31*'DB-Milchvieh'!K15)</f>
        <v>0</v>
      </c>
      <c r="I18" s="272"/>
      <c r="J18" s="62"/>
      <c r="K18" s="153"/>
      <c r="L18" s="416"/>
      <c r="M18" s="416"/>
      <c r="N18" s="130"/>
    </row>
    <row r="19" spans="2:13" ht="18" customHeight="1">
      <c r="B19" s="913">
        <f>B18+1</f>
        <v>116</v>
      </c>
      <c r="C19" s="438" t="s">
        <v>119</v>
      </c>
      <c r="D19" s="432" t="s">
        <v>255</v>
      </c>
      <c r="E19" s="388"/>
      <c r="G19" s="20"/>
      <c r="H19" s="434">
        <f>IF(Betriebsdaten!F40&gt;0,Betriebsdaten!F40*Ergebnis!L10,IF(Betriebsdaten!F42&gt;0,Ergebnis!L10*Betriebsdaten!L42,0))</f>
        <v>0</v>
      </c>
      <c r="I19" s="20"/>
      <c r="J19" s="447"/>
      <c r="K19" s="408"/>
      <c r="L19" s="416"/>
      <c r="M19" s="416"/>
    </row>
    <row r="20" spans="2:13" ht="18" customHeight="1">
      <c r="B20" s="913"/>
      <c r="C20" s="438" t="s">
        <v>56</v>
      </c>
      <c r="D20" s="432" t="s">
        <v>252</v>
      </c>
      <c r="E20" s="388"/>
      <c r="G20" s="20"/>
      <c r="I20" s="20"/>
      <c r="J20" s="589">
        <f>H18+H19</f>
        <v>0</v>
      </c>
      <c r="K20" s="408"/>
      <c r="L20" s="416"/>
      <c r="M20" s="416"/>
    </row>
    <row r="21" spans="2:14" ht="7.5" customHeight="1">
      <c r="B21" s="913"/>
      <c r="C21" s="436"/>
      <c r="D21" s="23"/>
      <c r="E21" s="23"/>
      <c r="F21" s="23"/>
      <c r="G21" s="23"/>
      <c r="I21" s="20"/>
      <c r="J21" s="1"/>
      <c r="K21" s="403"/>
      <c r="L21" s="415"/>
      <c r="M21" s="230"/>
      <c r="N21" s="230"/>
    </row>
    <row r="22" spans="2:11" ht="18" customHeight="1">
      <c r="B22" s="913">
        <f>B19+1</f>
        <v>117</v>
      </c>
      <c r="C22" s="435" t="s">
        <v>253</v>
      </c>
      <c r="D22" s="109"/>
      <c r="E22" s="23"/>
      <c r="F22" s="23"/>
      <c r="G22" s="23"/>
      <c r="H22" s="162"/>
      <c r="I22" s="23"/>
      <c r="J22" s="448">
        <f>J14-J20</f>
        <v>0</v>
      </c>
      <c r="K22" s="403"/>
    </row>
    <row r="23" spans="2:11" ht="7.5" customHeight="1">
      <c r="B23" s="946"/>
      <c r="C23" s="417"/>
      <c r="D23" s="138"/>
      <c r="E23" s="138"/>
      <c r="F23" s="138"/>
      <c r="G23" s="138"/>
      <c r="H23" s="138"/>
      <c r="I23" s="138"/>
      <c r="J23" s="138"/>
      <c r="K23" s="418"/>
    </row>
    <row r="24" spans="2:11" ht="7.5" customHeight="1">
      <c r="B24" s="913"/>
      <c r="C24" s="148"/>
      <c r="D24" s="23"/>
      <c r="E24" s="23"/>
      <c r="F24" s="23"/>
      <c r="G24" s="23"/>
      <c r="H24" s="23"/>
      <c r="I24" s="23"/>
      <c r="J24" s="1"/>
      <c r="K24" s="153"/>
    </row>
    <row r="25" spans="2:11" ht="18" customHeight="1">
      <c r="B25" s="913">
        <f>B22+1</f>
        <v>118</v>
      </c>
      <c r="C25" s="435" t="s">
        <v>189</v>
      </c>
      <c r="D25" s="109"/>
      <c r="E25" s="20"/>
      <c r="F25" s="20"/>
      <c r="G25" s="20"/>
      <c r="I25" s="20"/>
      <c r="J25" s="444">
        <f>IF(OR(Betriebsdaten!H15&lt;&gt;0,Betriebsdaten!M15&lt;&gt;0),'DB-Milchvieh'!K18,0)</f>
        <v>0</v>
      </c>
      <c r="K25" s="403"/>
    </row>
    <row r="26" spans="2:14" ht="7.5" customHeight="1">
      <c r="B26" s="913"/>
      <c r="C26" s="437"/>
      <c r="D26" s="20"/>
      <c r="E26" s="20"/>
      <c r="F26" s="20"/>
      <c r="G26" s="20"/>
      <c r="I26" s="20"/>
      <c r="J26" s="62"/>
      <c r="K26" s="403"/>
      <c r="L26" s="415"/>
      <c r="M26" s="230"/>
      <c r="N26" s="230"/>
    </row>
    <row r="27" spans="2:11" ht="18" customHeight="1">
      <c r="B27" s="913">
        <f>B25+1</f>
        <v>119</v>
      </c>
      <c r="C27" s="435" t="s">
        <v>258</v>
      </c>
      <c r="D27" s="419"/>
      <c r="E27" s="20"/>
      <c r="F27" s="20"/>
      <c r="G27" s="20"/>
      <c r="I27" s="20"/>
      <c r="J27" s="444">
        <f>IF(OR(Betriebsdaten!H15&lt;&gt;0,Betriebsdaten!M15&lt;&gt;0),'DB-Milchvieh'!K19*Betriebsdaten!M31,0)</f>
        <v>0</v>
      </c>
      <c r="K27" s="403"/>
    </row>
    <row r="28" spans="2:14" ht="7.5" customHeight="1">
      <c r="B28" s="913"/>
      <c r="C28" s="437"/>
      <c r="D28" s="20"/>
      <c r="E28" s="20"/>
      <c r="F28" s="20"/>
      <c r="G28" s="20"/>
      <c r="H28" s="20"/>
      <c r="I28" s="20"/>
      <c r="J28" s="1"/>
      <c r="K28" s="403"/>
      <c r="L28" s="415"/>
      <c r="M28" s="230"/>
      <c r="N28" s="230"/>
    </row>
    <row r="29" spans="2:11" ht="18" customHeight="1">
      <c r="B29" s="913">
        <f>B27+1</f>
        <v>120</v>
      </c>
      <c r="C29" s="435" t="s">
        <v>259</v>
      </c>
      <c r="D29" s="419"/>
      <c r="E29" s="20"/>
      <c r="F29" s="20"/>
      <c r="G29" s="20"/>
      <c r="H29" s="420"/>
      <c r="I29" s="20"/>
      <c r="J29" s="449">
        <f>J25-J27</f>
        <v>0</v>
      </c>
      <c r="K29" s="403"/>
    </row>
    <row r="30" spans="2:14" ht="7.5" customHeight="1" thickBot="1">
      <c r="B30" s="917"/>
      <c r="C30" s="171"/>
      <c r="D30" s="173"/>
      <c r="E30" s="173"/>
      <c r="F30" s="173"/>
      <c r="G30" s="173"/>
      <c r="H30" s="413"/>
      <c r="I30" s="413"/>
      <c r="J30" s="450"/>
      <c r="K30" s="421"/>
      <c r="L30" s="415"/>
      <c r="M30" s="230"/>
      <c r="N30" s="230"/>
    </row>
    <row r="31" spans="2:13" ht="24.75" customHeight="1" thickBot="1">
      <c r="B31" s="944"/>
      <c r="L31" s="35" t="s">
        <v>183</v>
      </c>
      <c r="M31" s="36"/>
    </row>
    <row r="32" spans="2:14" ht="7.5" customHeight="1">
      <c r="B32" s="945"/>
      <c r="C32" s="140"/>
      <c r="D32" s="141"/>
      <c r="E32" s="141"/>
      <c r="F32" s="141"/>
      <c r="G32" s="141"/>
      <c r="H32" s="422"/>
      <c r="I32" s="422"/>
      <c r="J32" s="141"/>
      <c r="K32" s="423"/>
      <c r="L32" s="31" t="s">
        <v>55</v>
      </c>
      <c r="M32" s="32" t="s">
        <v>190</v>
      </c>
      <c r="N32" s="230"/>
    </row>
    <row r="33" spans="1:13" ht="18" customHeight="1">
      <c r="A33" s="147"/>
      <c r="B33" s="913">
        <f>B29+1</f>
        <v>121</v>
      </c>
      <c r="C33" s="437" t="str">
        <f>" Mit der Bestandsänderung um "&amp;L33&amp;" Kühe und "&amp;M33&amp;" Stück Jungvieh können insgesamt"</f>
        <v> Mit der Bestandsänderung um 0 Kühe und 0 Stück Jungvieh können insgesamt</v>
      </c>
      <c r="D33" s="432"/>
      <c r="E33" s="432"/>
      <c r="F33" s="432"/>
      <c r="G33" s="432"/>
      <c r="H33" s="432"/>
      <c r="I33" s="432"/>
      <c r="J33" s="449">
        <f>L33*J22+M33*J29</f>
        <v>0</v>
      </c>
      <c r="K33" s="403"/>
      <c r="L33" s="33">
        <f>Betriebsdaten!M13-Betriebsdaten!H13</f>
        <v>0</v>
      </c>
      <c r="M33" s="34">
        <f>Betriebsdaten!M15-Betriebsdaten!H15</f>
        <v>0</v>
      </c>
    </row>
    <row r="34" spans="2:12" ht="18" customHeight="1">
      <c r="B34" s="913"/>
      <c r="C34" s="435" t="s">
        <v>191</v>
      </c>
      <c r="D34" s="443">
        <f>IF(J8=0,0,J33/J8*100)</f>
        <v>0</v>
      </c>
      <c r="E34" s="442" t="s">
        <v>192</v>
      </c>
      <c r="F34" s="441"/>
      <c r="G34" s="433"/>
      <c r="H34" s="433"/>
      <c r="I34" s="432"/>
      <c r="J34" s="433"/>
      <c r="K34" s="153"/>
      <c r="L34" s="272"/>
    </row>
    <row r="35" spans="2:12" ht="18" customHeight="1">
      <c r="B35" s="913">
        <f>B33+1</f>
        <v>122</v>
      </c>
      <c r="C35" s="435" t="s">
        <v>345</v>
      </c>
      <c r="D35" s="443"/>
      <c r="E35" s="442"/>
      <c r="F35" s="441"/>
      <c r="G35" s="433"/>
      <c r="H35" s="433"/>
      <c r="I35" s="432"/>
      <c r="J35" s="433"/>
      <c r="K35" s="153"/>
      <c r="L35" s="272"/>
    </row>
    <row r="36" spans="2:12" ht="18" customHeight="1">
      <c r="B36" s="913"/>
      <c r="C36" s="435" t="s">
        <v>346</v>
      </c>
      <c r="E36" s="442"/>
      <c r="F36" s="441"/>
      <c r="G36" s="433"/>
      <c r="H36" s="433"/>
      <c r="I36" s="432"/>
      <c r="J36" s="449">
        <f>J33-J8</f>
        <v>0</v>
      </c>
      <c r="K36" s="153"/>
      <c r="L36" s="272"/>
    </row>
    <row r="37" spans="2:11" ht="7.5" customHeight="1" thickBot="1">
      <c r="B37" s="917"/>
      <c r="C37" s="171"/>
      <c r="D37" s="173"/>
      <c r="E37" s="173"/>
      <c r="F37" s="173"/>
      <c r="G37" s="173"/>
      <c r="H37" s="173"/>
      <c r="I37" s="173"/>
      <c r="J37" s="173"/>
      <c r="K37" s="212"/>
    </row>
    <row r="38" spans="2:11" ht="24.75" customHeight="1" thickBot="1">
      <c r="B38" s="944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7.5" customHeight="1">
      <c r="B39" s="945"/>
      <c r="C39" s="140"/>
      <c r="D39" s="141"/>
      <c r="E39" s="141"/>
      <c r="F39" s="141"/>
      <c r="G39" s="141"/>
      <c r="H39" s="141"/>
      <c r="I39" s="141"/>
      <c r="J39" s="141"/>
      <c r="K39" s="146"/>
    </row>
    <row r="40" spans="1:11" ht="18" customHeight="1">
      <c r="A40" s="147"/>
      <c r="B40" s="913">
        <f>B35+1</f>
        <v>123</v>
      </c>
      <c r="C40" s="435" t="s">
        <v>260</v>
      </c>
      <c r="D40" s="109"/>
      <c r="E40" s="20"/>
      <c r="F40" s="20"/>
      <c r="G40" s="20"/>
      <c r="H40" s="20"/>
      <c r="I40" s="272"/>
      <c r="J40" s="451">
        <f>IF(Betriebsdaten!M17=0,0,'DB-Milchvieh'!K38*100)</f>
        <v>0</v>
      </c>
      <c r="K40" s="403"/>
    </row>
    <row r="41" spans="2:11" ht="18" customHeight="1">
      <c r="B41" s="913"/>
      <c r="C41" s="437" t="s">
        <v>261</v>
      </c>
      <c r="D41" s="20"/>
      <c r="E41" s="20"/>
      <c r="F41" s="20"/>
      <c r="G41" s="20"/>
      <c r="H41" s="20"/>
      <c r="I41" s="20"/>
      <c r="J41" s="20"/>
      <c r="K41" s="403"/>
    </row>
    <row r="42" spans="2:11" ht="7.5" customHeight="1" thickBot="1">
      <c r="B42" s="917"/>
      <c r="C42" s="171"/>
      <c r="D42" s="173"/>
      <c r="E42" s="173"/>
      <c r="F42" s="173"/>
      <c r="G42" s="173"/>
      <c r="H42" s="173"/>
      <c r="I42" s="173"/>
      <c r="J42" s="173"/>
      <c r="K42" s="212"/>
    </row>
    <row r="43" ht="24.75" customHeight="1" thickBot="1">
      <c r="B43" s="947"/>
    </row>
    <row r="44" spans="2:11" ht="7.5" customHeight="1">
      <c r="B44" s="945"/>
      <c r="C44" s="140"/>
      <c r="D44" s="141"/>
      <c r="E44" s="141"/>
      <c r="F44" s="141"/>
      <c r="G44" s="141"/>
      <c r="H44" s="141"/>
      <c r="I44" s="141"/>
      <c r="J44" s="141"/>
      <c r="K44" s="146"/>
    </row>
    <row r="45" spans="1:11" ht="18" customHeight="1">
      <c r="A45" s="147"/>
      <c r="B45" s="913">
        <f>B40+1</f>
        <v>124</v>
      </c>
      <c r="C45" s="435" t="s">
        <v>262</v>
      </c>
      <c r="D45" s="442"/>
      <c r="E45" s="431"/>
      <c r="F45" s="431"/>
      <c r="G45" s="431"/>
      <c r="H45" s="431"/>
      <c r="I45" s="431"/>
      <c r="J45" s="431"/>
      <c r="K45" s="153"/>
    </row>
    <row r="46" spans="2:13" ht="18" customHeight="1">
      <c r="B46" s="913"/>
      <c r="C46" s="437" t="s">
        <v>193</v>
      </c>
      <c r="D46" s="432"/>
      <c r="E46" s="432"/>
      <c r="F46" s="432"/>
      <c r="G46" s="432"/>
      <c r="H46" s="432"/>
      <c r="I46" s="433"/>
      <c r="J46" s="446">
        <f>IF(Betriebsdaten!M13=0,0,((J8-J33)/Betriebsdaten!M13)/J40*100)</f>
        <v>0</v>
      </c>
      <c r="K46" s="153"/>
      <c r="L46" s="7"/>
      <c r="M46" s="7"/>
    </row>
    <row r="47" spans="2:13" ht="7.5" customHeight="1">
      <c r="B47" s="913"/>
      <c r="C47" s="436"/>
      <c r="D47" s="431"/>
      <c r="E47" s="431"/>
      <c r="F47" s="431"/>
      <c r="G47" s="431"/>
      <c r="H47" s="431"/>
      <c r="I47" s="431"/>
      <c r="J47" s="1"/>
      <c r="K47" s="153"/>
      <c r="L47" s="424"/>
      <c r="M47" s="425"/>
    </row>
    <row r="48" spans="2:13" ht="18" customHeight="1">
      <c r="B48" s="913">
        <f>B45+1</f>
        <v>125</v>
      </c>
      <c r="C48" s="435" t="s">
        <v>263</v>
      </c>
      <c r="D48" s="433"/>
      <c r="E48" s="442"/>
      <c r="F48" s="431"/>
      <c r="G48" s="431"/>
      <c r="H48" s="431"/>
      <c r="I48" s="431"/>
      <c r="J48" s="1"/>
      <c r="K48" s="153"/>
      <c r="L48" s="426" t="s">
        <v>194</v>
      </c>
      <c r="M48" s="427"/>
    </row>
    <row r="49" spans="2:14" ht="18" customHeight="1">
      <c r="B49" s="913"/>
      <c r="C49" s="437" t="s">
        <v>193</v>
      </c>
      <c r="D49" s="433"/>
      <c r="E49" s="432"/>
      <c r="F49" s="432"/>
      <c r="G49" s="431"/>
      <c r="H49" s="432"/>
      <c r="I49" s="433"/>
      <c r="J49" s="446">
        <f>IF(Betriebsdaten!M13=0,0,IF(L49&lt;&gt;0,(J8-J33+L50)/Betriebsdaten!M13/Ergebnis!J40*100,J46))</f>
        <v>0</v>
      </c>
      <c r="K49" s="153"/>
      <c r="L49" s="428">
        <f>Betriebsdaten!L51</f>
        <v>0</v>
      </c>
      <c r="M49" s="429" t="s">
        <v>195</v>
      </c>
      <c r="N49" s="7"/>
    </row>
    <row r="50" spans="2:13" ht="7.5" customHeight="1">
      <c r="B50" s="913"/>
      <c r="C50" s="436"/>
      <c r="D50" s="431"/>
      <c r="E50" s="431"/>
      <c r="F50" s="431"/>
      <c r="G50" s="431"/>
      <c r="H50" s="431"/>
      <c r="I50" s="431"/>
      <c r="J50" s="1"/>
      <c r="K50" s="153"/>
      <c r="L50" s="424">
        <f>L49*Betriebsdaten!E47</f>
        <v>0</v>
      </c>
      <c r="M50" s="425" t="s">
        <v>226</v>
      </c>
    </row>
    <row r="51" spans="2:13" ht="18" customHeight="1">
      <c r="B51" s="913">
        <f>B48+1</f>
        <v>126</v>
      </c>
      <c r="C51" s="435" t="s">
        <v>264</v>
      </c>
      <c r="D51" s="433"/>
      <c r="E51" s="442"/>
      <c r="F51" s="432"/>
      <c r="G51" s="432"/>
      <c r="H51" s="432"/>
      <c r="I51" s="432"/>
      <c r="J51" s="1"/>
      <c r="K51" s="153"/>
      <c r="L51" s="430"/>
      <c r="M51" s="132"/>
    </row>
    <row r="52" spans="2:13" ht="18" customHeight="1">
      <c r="B52" s="913"/>
      <c r="C52" s="437" t="s">
        <v>196</v>
      </c>
      <c r="D52" s="440">
        <f>Betriebsdaten!L55</f>
        <v>0</v>
      </c>
      <c r="E52" s="432" t="s">
        <v>265</v>
      </c>
      <c r="F52" s="432"/>
      <c r="G52" s="431"/>
      <c r="H52" s="432"/>
      <c r="I52" s="433"/>
      <c r="J52" s="446">
        <f>IF(Betriebsdaten!M13=0,0,((J8-J33+D52)/Betriebsdaten!M13)/J40*100)</f>
        <v>0</v>
      </c>
      <c r="K52" s="403"/>
      <c r="L52" s="388"/>
      <c r="M52" s="214"/>
    </row>
    <row r="53" spans="2:11" ht="7.5" customHeight="1" thickBot="1">
      <c r="B53" s="412"/>
      <c r="C53" s="171"/>
      <c r="D53" s="173"/>
      <c r="E53" s="173"/>
      <c r="F53" s="173"/>
      <c r="G53" s="173"/>
      <c r="H53" s="173"/>
      <c r="I53" s="173"/>
      <c r="J53" s="173"/>
      <c r="K53" s="212"/>
    </row>
    <row r="55" ht="14.25" customHeight="1">
      <c r="A55" s="147"/>
    </row>
    <row r="58" spans="3:5" ht="12.75">
      <c r="C58" s="7"/>
      <c r="D58" s="7"/>
      <c r="E58" s="7"/>
    </row>
    <row r="59" ht="12.75">
      <c r="E59" s="7"/>
    </row>
  </sheetData>
  <sheetProtection password="9339" sheet="1" objects="1" scenarios="1"/>
  <conditionalFormatting sqref="J36">
    <cfRule type="expression" priority="1" dxfId="4" stopIfTrue="1">
      <formula>J36&lt;0</formula>
    </cfRule>
  </conditionalFormatting>
  <printOptions horizontalCentered="1"/>
  <pageMargins left="0.5905511811023623" right="0.5905511811023623" top="0.5905511811023623" bottom="0.5905511811023623" header="0.1968503937007874" footer="0.1968503937007874"/>
  <pageSetup horizontalDpi="300" verticalDpi="300" orientation="portrait" paperSize="9" scale="87" r:id="rId4"/>
  <headerFooter alignWithMargins="0">
    <oddFooter>&amp;L&amp;8LEL Schwäbisch Gmünd 
Abt. 2&amp;C&amp;8&amp;F
&amp;A&amp;R&amp;8&amp;D
&amp;"Arial,Fett"&amp;12Seite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P62"/>
  <sheetViews>
    <sheetView showGridLines="0" showZeros="0" workbookViewId="0" topLeftCell="A1">
      <pane ySplit="10" topLeftCell="BM12" activePane="bottomLeft" state="frozen"/>
      <selection pane="topLeft" activeCell="F264" sqref="F264"/>
      <selection pane="bottomLeft" activeCell="G46" sqref="G46"/>
    </sheetView>
  </sheetViews>
  <sheetFormatPr defaultColWidth="11.421875" defaultRowHeight="12.75"/>
  <cols>
    <col min="1" max="1" width="1.7109375" style="455" customWidth="1"/>
    <col min="2" max="2" width="4.7109375" style="455" customWidth="1"/>
    <col min="3" max="3" width="7.7109375" style="455" customWidth="1"/>
    <col min="4" max="4" width="8.7109375" style="455" customWidth="1"/>
    <col min="5" max="5" width="31.140625" style="455" customWidth="1"/>
    <col min="6" max="6" width="6.28125" style="455" bestFit="1" customWidth="1"/>
    <col min="7" max="10" width="11.7109375" style="455" customWidth="1"/>
    <col min="11" max="16384" width="11.57421875" style="455" customWidth="1"/>
  </cols>
  <sheetData>
    <row r="1" spans="2:14" s="126" customFormat="1" ht="36" customHeight="1">
      <c r="B1" s="615" t="s">
        <v>381</v>
      </c>
      <c r="D1" s="128"/>
      <c r="E1" s="128"/>
      <c r="F1" s="128"/>
      <c r="G1" s="128"/>
      <c r="H1" s="128"/>
      <c r="I1" s="128"/>
      <c r="J1" s="128"/>
      <c r="K1" s="129"/>
      <c r="L1" s="128"/>
      <c r="M1" s="128"/>
      <c r="N1" s="128"/>
    </row>
    <row r="2" ht="19.5" customHeight="1"/>
    <row r="3" spans="2:7" ht="30" customHeight="1">
      <c r="B3" s="1155" t="s">
        <v>197</v>
      </c>
      <c r="C3" s="1156"/>
      <c r="D3" s="1157">
        <f>'DB-Milchvieh'!D2</f>
        <v>0</v>
      </c>
      <c r="E3" s="1157"/>
      <c r="F3" s="1158"/>
      <c r="G3" s="1158"/>
    </row>
    <row r="4" spans="2:7" ht="19.5" customHeight="1">
      <c r="B4" s="1155"/>
      <c r="C4" s="1156"/>
      <c r="D4" s="1159"/>
      <c r="E4" s="1159"/>
      <c r="F4" s="1112"/>
      <c r="G4" s="1112"/>
    </row>
    <row r="5" spans="2:7" ht="19.5" customHeight="1">
      <c r="B5" s="1160" t="s">
        <v>348</v>
      </c>
      <c r="C5" s="1156"/>
      <c r="D5" s="1161">
        <f>Betriebsdaten!H13</f>
        <v>0</v>
      </c>
      <c r="E5" s="1162" t="s">
        <v>349</v>
      </c>
      <c r="F5" s="1230">
        <f>Betriebsdaten!M17</f>
        <v>0</v>
      </c>
      <c r="G5" s="1230"/>
    </row>
    <row r="6" spans="2:7" ht="19.5" customHeight="1" thickBot="1">
      <c r="B6" s="1155"/>
      <c r="C6" s="1156"/>
      <c r="D6" s="1159"/>
      <c r="E6" s="1159"/>
      <c r="F6" s="1112"/>
      <c r="G6" s="1112"/>
    </row>
    <row r="7" spans="2:11" ht="6" customHeight="1">
      <c r="B7" s="573"/>
      <c r="C7" s="456"/>
      <c r="D7" s="456"/>
      <c r="E7" s="456"/>
      <c r="F7" s="457"/>
      <c r="G7" s="458"/>
      <c r="H7" s="458"/>
      <c r="I7" s="458"/>
      <c r="J7" s="459"/>
      <c r="K7" s="178"/>
    </row>
    <row r="8" spans="1:13" ht="19.5" customHeight="1">
      <c r="A8" s="454"/>
      <c r="B8" s="401"/>
      <c r="C8" s="575" t="s">
        <v>198</v>
      </c>
      <c r="D8" s="432"/>
      <c r="E8" s="432"/>
      <c r="F8" s="482" t="s">
        <v>199</v>
      </c>
      <c r="G8" s="1152" t="s">
        <v>200</v>
      </c>
      <c r="H8" s="1153"/>
      <c r="I8" s="1153"/>
      <c r="J8" s="1154"/>
      <c r="K8" s="460"/>
      <c r="M8" s="455" t="s">
        <v>59</v>
      </c>
    </row>
    <row r="9" spans="2:16" ht="19.5" customHeight="1">
      <c r="B9" s="401"/>
      <c r="C9" s="432"/>
      <c r="D9" s="431"/>
      <c r="E9" s="431"/>
      <c r="F9" s="482" t="s">
        <v>201</v>
      </c>
      <c r="G9" s="1105">
        <v>1</v>
      </c>
      <c r="H9" s="1106">
        <v>2</v>
      </c>
      <c r="I9" s="1106">
        <v>3</v>
      </c>
      <c r="J9" s="1107">
        <v>4</v>
      </c>
      <c r="K9" s="1135"/>
      <c r="M9" s="462" t="s">
        <v>59</v>
      </c>
      <c r="N9" s="463" t="s">
        <v>59</v>
      </c>
      <c r="O9" s="463" t="s">
        <v>59</v>
      </c>
      <c r="P9" s="463" t="s">
        <v>59</v>
      </c>
    </row>
    <row r="10" spans="2:11" ht="6" customHeight="1" thickBot="1">
      <c r="B10" s="574"/>
      <c r="C10" s="464"/>
      <c r="D10" s="465"/>
      <c r="E10" s="465"/>
      <c r="F10" s="466"/>
      <c r="G10" s="1108"/>
      <c r="H10" s="1109"/>
      <c r="I10" s="1109"/>
      <c r="J10" s="1110"/>
      <c r="K10" s="1136"/>
    </row>
    <row r="11" spans="2:11" ht="6" customHeight="1">
      <c r="B11" s="467"/>
      <c r="C11" s="461"/>
      <c r="D11" s="468"/>
      <c r="E11" s="206"/>
      <c r="F11" s="469"/>
      <c r="G11" s="1112"/>
      <c r="H11" s="1111"/>
      <c r="I11" s="1111"/>
      <c r="J11" s="1113"/>
      <c r="K11" s="178"/>
    </row>
    <row r="12" spans="2:11" ht="19.5" customHeight="1">
      <c r="B12" s="936">
        <f>Ergebnis!B51+1</f>
        <v>127</v>
      </c>
      <c r="C12" s="432" t="s">
        <v>202</v>
      </c>
      <c r="D12" s="206"/>
      <c r="E12" s="206"/>
      <c r="F12" s="470" t="s">
        <v>203</v>
      </c>
      <c r="G12" s="1114">
        <v>0</v>
      </c>
      <c r="H12" s="1114">
        <v>0</v>
      </c>
      <c r="I12" s="1114">
        <v>0</v>
      </c>
      <c r="J12" s="1115">
        <v>0</v>
      </c>
      <c r="K12" s="1137">
        <f>Betriebsdaten!M13</f>
        <v>0</v>
      </c>
    </row>
    <row r="13" spans="2:11" ht="6" customHeight="1">
      <c r="B13" s="936"/>
      <c r="C13" s="71"/>
      <c r="D13" s="206"/>
      <c r="E13" s="206"/>
      <c r="F13" s="470"/>
      <c r="G13" s="1114"/>
      <c r="H13" s="1114"/>
      <c r="I13" s="1114"/>
      <c r="J13" s="1115"/>
      <c r="K13" s="1138"/>
    </row>
    <row r="14" spans="2:11" ht="19.5" customHeight="1">
      <c r="B14" s="936">
        <f>B12+1</f>
        <v>128</v>
      </c>
      <c r="C14" s="432" t="s">
        <v>204</v>
      </c>
      <c r="D14" s="206"/>
      <c r="E14" s="206"/>
      <c r="F14" s="470" t="s">
        <v>203</v>
      </c>
      <c r="G14" s="1114">
        <v>0</v>
      </c>
      <c r="H14" s="1114">
        <v>0</v>
      </c>
      <c r="I14" s="1114">
        <v>0</v>
      </c>
      <c r="J14" s="1115">
        <v>0</v>
      </c>
      <c r="K14" s="1137">
        <f>Betriebsdaten!M15</f>
        <v>0</v>
      </c>
    </row>
    <row r="15" spans="2:11" ht="6" customHeight="1">
      <c r="B15" s="936"/>
      <c r="C15" s="432"/>
      <c r="D15" s="206"/>
      <c r="E15" s="206"/>
      <c r="F15" s="470"/>
      <c r="G15" s="1114"/>
      <c r="H15" s="1114"/>
      <c r="I15" s="1114"/>
      <c r="J15" s="1115"/>
      <c r="K15" s="1138"/>
    </row>
    <row r="16" spans="2:11" ht="19.5" customHeight="1">
      <c r="B16" s="936">
        <f>B14+1</f>
        <v>129</v>
      </c>
      <c r="C16" s="432" t="s">
        <v>398</v>
      </c>
      <c r="D16" s="206"/>
      <c r="E16" s="206"/>
      <c r="F16" s="470" t="s">
        <v>274</v>
      </c>
      <c r="G16" s="1116">
        <v>0</v>
      </c>
      <c r="H16" s="1116">
        <v>0</v>
      </c>
      <c r="I16" s="1116">
        <v>0</v>
      </c>
      <c r="J16" s="1117">
        <v>0</v>
      </c>
      <c r="K16" s="1139">
        <f>'DB-Milchvieh'!E5</f>
        <v>33</v>
      </c>
    </row>
    <row r="17" spans="2:11" ht="6" customHeight="1">
      <c r="B17" s="936"/>
      <c r="C17" s="432"/>
      <c r="D17" s="206"/>
      <c r="E17" s="206"/>
      <c r="F17" s="470"/>
      <c r="G17" s="1114"/>
      <c r="H17" s="1114"/>
      <c r="I17" s="1114"/>
      <c r="J17" s="1115"/>
      <c r="K17" s="1138"/>
    </row>
    <row r="18" spans="2:11" ht="19.5" customHeight="1">
      <c r="B18" s="936">
        <f>B16+1</f>
        <v>130</v>
      </c>
      <c r="C18" s="432" t="s">
        <v>347</v>
      </c>
      <c r="D18" s="206"/>
      <c r="E18" s="206"/>
      <c r="F18" s="470" t="s">
        <v>226</v>
      </c>
      <c r="G18" s="1114">
        <v>0</v>
      </c>
      <c r="H18" s="1114">
        <v>0</v>
      </c>
      <c r="I18" s="1114">
        <v>0</v>
      </c>
      <c r="J18" s="1115">
        <v>0</v>
      </c>
      <c r="K18" s="1140">
        <f>Investition!L58</f>
        <v>0</v>
      </c>
    </row>
    <row r="19" spans="2:11" ht="6" customHeight="1">
      <c r="B19" s="936"/>
      <c r="C19" s="432"/>
      <c r="D19" s="206"/>
      <c r="E19" s="206"/>
      <c r="F19" s="470"/>
      <c r="G19" s="1114"/>
      <c r="H19" s="1114"/>
      <c r="I19" s="1114"/>
      <c r="J19" s="1115"/>
      <c r="K19" s="1138"/>
    </row>
    <row r="20" spans="2:11" ht="19.5" customHeight="1" hidden="1">
      <c r="B20" s="936">
        <f>B18+1</f>
        <v>131</v>
      </c>
      <c r="C20" s="432" t="s">
        <v>205</v>
      </c>
      <c r="D20" s="206"/>
      <c r="E20" s="206"/>
      <c r="F20" s="470" t="s">
        <v>227</v>
      </c>
      <c r="G20" s="1118">
        <v>0</v>
      </c>
      <c r="H20" s="1118">
        <v>0</v>
      </c>
      <c r="I20" s="1118">
        <v>0</v>
      </c>
      <c r="J20" s="1119">
        <v>0</v>
      </c>
      <c r="K20" s="1141">
        <f>Betriebsdaten!L40</f>
        <v>0</v>
      </c>
    </row>
    <row r="21" spans="2:11" ht="6" customHeight="1">
      <c r="B21" s="937"/>
      <c r="C21" s="432"/>
      <c r="D21" s="206"/>
      <c r="E21" s="206"/>
      <c r="F21" s="470"/>
      <c r="G21" s="1114"/>
      <c r="H21" s="1114"/>
      <c r="I21" s="1114"/>
      <c r="J21" s="1115"/>
      <c r="K21" s="1138"/>
    </row>
    <row r="22" spans="2:11" ht="19.5" customHeight="1">
      <c r="B22" s="936">
        <f>B18+1</f>
        <v>131</v>
      </c>
      <c r="C22" s="432" t="s">
        <v>206</v>
      </c>
      <c r="D22" s="206"/>
      <c r="E22" s="206"/>
      <c r="F22" s="470" t="s">
        <v>227</v>
      </c>
      <c r="G22" s="1118">
        <v>0</v>
      </c>
      <c r="H22" s="1118">
        <v>0</v>
      </c>
      <c r="I22" s="1118">
        <v>0</v>
      </c>
      <c r="J22" s="1119">
        <v>0</v>
      </c>
      <c r="K22" s="1142">
        <f>Betriebsdaten!F42</f>
        <v>0</v>
      </c>
    </row>
    <row r="23" spans="2:11" ht="6" customHeight="1">
      <c r="B23" s="936"/>
      <c r="C23" s="432"/>
      <c r="D23" s="206"/>
      <c r="E23" s="206"/>
      <c r="F23" s="470"/>
      <c r="G23" s="1114"/>
      <c r="H23" s="1114"/>
      <c r="I23" s="1114"/>
      <c r="J23" s="1115"/>
      <c r="K23" s="1138"/>
    </row>
    <row r="24" spans="2:11" ht="19.5" customHeight="1">
      <c r="B24" s="936">
        <f>B22+1</f>
        <v>132</v>
      </c>
      <c r="C24" s="432" t="s">
        <v>118</v>
      </c>
      <c r="D24" s="206"/>
      <c r="E24" s="206"/>
      <c r="F24" s="470" t="s">
        <v>195</v>
      </c>
      <c r="G24" s="1114">
        <v>0</v>
      </c>
      <c r="H24" s="1114">
        <v>0</v>
      </c>
      <c r="I24" s="1114">
        <v>0</v>
      </c>
      <c r="J24" s="1115">
        <v>0</v>
      </c>
      <c r="K24" s="1143">
        <f>Betriebsdaten!L51</f>
        <v>0</v>
      </c>
    </row>
    <row r="25" spans="2:11" ht="6" customHeight="1">
      <c r="B25" s="936"/>
      <c r="C25" s="432"/>
      <c r="D25" s="206"/>
      <c r="E25" s="206"/>
      <c r="F25" s="470"/>
      <c r="G25" s="1114"/>
      <c r="H25" s="1114"/>
      <c r="I25" s="1114"/>
      <c r="J25" s="1115"/>
      <c r="K25" s="1138"/>
    </row>
    <row r="26" spans="2:11" ht="13.5" customHeight="1">
      <c r="B26" s="936">
        <f>B24+1</f>
        <v>133</v>
      </c>
      <c r="C26" s="432" t="s">
        <v>207</v>
      </c>
      <c r="D26" s="206"/>
      <c r="E26" s="206"/>
      <c r="F26" s="470" t="s">
        <v>226</v>
      </c>
      <c r="G26" s="1114">
        <v>0</v>
      </c>
      <c r="H26" s="1114">
        <v>0</v>
      </c>
      <c r="I26" s="1114">
        <v>0</v>
      </c>
      <c r="J26" s="1115">
        <v>0</v>
      </c>
      <c r="K26" s="1137">
        <f>Betriebsdaten!L53*-1</f>
        <v>0</v>
      </c>
    </row>
    <row r="27" spans="2:11" ht="13.5" customHeight="1">
      <c r="B27" s="936"/>
      <c r="C27" s="432" t="s">
        <v>208</v>
      </c>
      <c r="D27" s="471"/>
      <c r="E27" s="471"/>
      <c r="F27" s="470"/>
      <c r="G27" s="1114"/>
      <c r="H27" s="1114"/>
      <c r="I27" s="1114"/>
      <c r="J27" s="1115"/>
      <c r="K27" s="1144"/>
    </row>
    <row r="28" spans="2:11" ht="6" customHeight="1">
      <c r="B28" s="936"/>
      <c r="C28" s="71"/>
      <c r="D28" s="206"/>
      <c r="E28" s="206"/>
      <c r="F28" s="470"/>
      <c r="G28" s="1114"/>
      <c r="H28" s="1114"/>
      <c r="I28" s="1114"/>
      <c r="J28" s="1115"/>
      <c r="K28" s="1145"/>
    </row>
    <row r="29" spans="2:11" ht="13.5" customHeight="1">
      <c r="B29" s="936">
        <f>B26+1</f>
        <v>134</v>
      </c>
      <c r="C29" s="432" t="s">
        <v>209</v>
      </c>
      <c r="D29" s="206"/>
      <c r="E29" s="206"/>
      <c r="F29" s="470" t="s">
        <v>228</v>
      </c>
      <c r="G29" s="1114">
        <v>0</v>
      </c>
      <c r="H29" s="1114">
        <v>0</v>
      </c>
      <c r="I29" s="1114">
        <v>0</v>
      </c>
      <c r="J29" s="1115">
        <v>0</v>
      </c>
      <c r="K29" s="1146">
        <f>Betriebsdaten!L55</f>
        <v>0</v>
      </c>
    </row>
    <row r="30" spans="2:11" ht="13.5" customHeight="1">
      <c r="B30" s="936"/>
      <c r="C30" s="432" t="s">
        <v>210</v>
      </c>
      <c r="D30" s="471"/>
      <c r="E30" s="471"/>
      <c r="F30" s="470"/>
      <c r="G30" s="1114"/>
      <c r="H30" s="1114"/>
      <c r="I30" s="1114"/>
      <c r="J30" s="1115"/>
      <c r="K30" s="1144"/>
    </row>
    <row r="31" spans="2:11" ht="6" customHeight="1">
      <c r="B31" s="938"/>
      <c r="C31" s="585"/>
      <c r="D31" s="472"/>
      <c r="E31" s="472"/>
      <c r="F31" s="125"/>
      <c r="G31" s="1120"/>
      <c r="H31" s="1120"/>
      <c r="I31" s="1120"/>
      <c r="J31" s="1121"/>
      <c r="K31" s="1138"/>
    </row>
    <row r="32" spans="2:11" ht="6" customHeight="1">
      <c r="B32" s="937"/>
      <c r="C32" s="461"/>
      <c r="D32" s="206"/>
      <c r="E32" s="206"/>
      <c r="F32" s="470"/>
      <c r="G32" s="1122"/>
      <c r="H32" s="1122"/>
      <c r="I32" s="1122"/>
      <c r="J32" s="1123"/>
      <c r="K32" s="1147"/>
    </row>
    <row r="33" spans="1:11" ht="19.5" customHeight="1">
      <c r="A33" s="454"/>
      <c r="B33" s="939">
        <f>B29+1</f>
        <v>135</v>
      </c>
      <c r="C33" s="442" t="s">
        <v>211</v>
      </c>
      <c r="D33" s="474"/>
      <c r="E33" s="474"/>
      <c r="F33" s="475" t="s">
        <v>226</v>
      </c>
      <c r="G33" s="1124">
        <v>0</v>
      </c>
      <c r="H33" s="1124">
        <v>0</v>
      </c>
      <c r="I33" s="1124">
        <v>0</v>
      </c>
      <c r="J33" s="1125">
        <v>0</v>
      </c>
      <c r="K33" s="1140">
        <f>+Finanzierung!L24</f>
        <v>0</v>
      </c>
    </row>
    <row r="34" spans="2:11" ht="6" customHeight="1">
      <c r="B34" s="939"/>
      <c r="C34" s="586"/>
      <c r="D34" s="474"/>
      <c r="E34" s="474"/>
      <c r="F34" s="475"/>
      <c r="G34" s="1124"/>
      <c r="H34" s="1124"/>
      <c r="I34" s="1124"/>
      <c r="J34" s="1125"/>
      <c r="K34" s="1148"/>
    </row>
    <row r="35" spans="2:11" ht="19.5" customHeight="1">
      <c r="B35" s="939">
        <f>B33+1</f>
        <v>136</v>
      </c>
      <c r="C35" s="442" t="s">
        <v>576</v>
      </c>
      <c r="D35" s="473"/>
      <c r="E35" s="473"/>
      <c r="F35" s="475" t="s">
        <v>226</v>
      </c>
      <c r="G35" s="1124">
        <v>0</v>
      </c>
      <c r="H35" s="1124">
        <v>0</v>
      </c>
      <c r="I35" s="1124">
        <v>0</v>
      </c>
      <c r="J35" s="1125">
        <v>0</v>
      </c>
      <c r="K35" s="1140">
        <f>Finanzierung!L30</f>
        <v>0</v>
      </c>
    </row>
    <row r="36" spans="2:11" ht="6" customHeight="1">
      <c r="B36" s="939"/>
      <c r="C36" s="442"/>
      <c r="D36" s="473"/>
      <c r="E36" s="473"/>
      <c r="F36" s="475"/>
      <c r="G36" s="1124"/>
      <c r="H36" s="1124"/>
      <c r="I36" s="1124"/>
      <c r="J36" s="1125"/>
      <c r="K36" s="1148"/>
    </row>
    <row r="37" spans="2:11" ht="19.5" customHeight="1">
      <c r="B37" s="939">
        <f>B35+1</f>
        <v>137</v>
      </c>
      <c r="C37" s="442" t="s">
        <v>266</v>
      </c>
      <c r="D37" s="473"/>
      <c r="E37" s="473"/>
      <c r="F37" s="475" t="s">
        <v>226</v>
      </c>
      <c r="G37" s="1124">
        <v>0</v>
      </c>
      <c r="H37" s="1124">
        <v>0</v>
      </c>
      <c r="I37" s="1124">
        <v>0</v>
      </c>
      <c r="J37" s="1125">
        <v>0</v>
      </c>
      <c r="K37" s="1140">
        <f>+Finanzierung!L53</f>
        <v>0</v>
      </c>
    </row>
    <row r="38" spans="2:11" ht="6" customHeight="1">
      <c r="B38" s="939"/>
      <c r="C38" s="442"/>
      <c r="D38" s="473"/>
      <c r="E38" s="473"/>
      <c r="F38" s="475"/>
      <c r="G38" s="1124"/>
      <c r="H38" s="1124"/>
      <c r="I38" s="1124"/>
      <c r="J38" s="1125"/>
      <c r="K38" s="1148"/>
    </row>
    <row r="39" spans="2:11" ht="19.5" customHeight="1">
      <c r="B39" s="939">
        <f>B37+1</f>
        <v>138</v>
      </c>
      <c r="C39" s="442" t="s">
        <v>267</v>
      </c>
      <c r="D39" s="473"/>
      <c r="E39" s="473"/>
      <c r="F39" s="475" t="s">
        <v>226</v>
      </c>
      <c r="G39" s="1124">
        <v>0</v>
      </c>
      <c r="H39" s="1124">
        <v>0</v>
      </c>
      <c r="I39" s="1124">
        <v>0</v>
      </c>
      <c r="J39" s="1125">
        <v>0</v>
      </c>
      <c r="K39" s="1140">
        <f>+Finanzierung!L44</f>
        <v>0</v>
      </c>
    </row>
    <row r="40" spans="2:11" ht="6" customHeight="1">
      <c r="B40" s="940"/>
      <c r="C40" s="585"/>
      <c r="D40" s="474"/>
      <c r="E40" s="474"/>
      <c r="F40" s="475"/>
      <c r="G40" s="1124"/>
      <c r="H40" s="1124"/>
      <c r="I40" s="1124"/>
      <c r="J40" s="1125"/>
      <c r="K40" s="1149"/>
    </row>
    <row r="41" spans="2:11" ht="6" customHeight="1">
      <c r="B41" s="941"/>
      <c r="C41" s="71"/>
      <c r="D41" s="477"/>
      <c r="E41" s="477"/>
      <c r="F41" s="478"/>
      <c r="G41" s="1126"/>
      <c r="H41" s="1126"/>
      <c r="I41" s="1126"/>
      <c r="J41" s="1127"/>
      <c r="K41" s="1148"/>
    </row>
    <row r="42" spans="2:11" ht="13.5" customHeight="1">
      <c r="B42" s="939">
        <f>B39+1</f>
        <v>139</v>
      </c>
      <c r="C42" s="442" t="s">
        <v>370</v>
      </c>
      <c r="D42" s="473"/>
      <c r="E42" s="473"/>
      <c r="F42" s="475" t="s">
        <v>52</v>
      </c>
      <c r="G42" s="1124">
        <v>0</v>
      </c>
      <c r="H42" s="1124">
        <v>0</v>
      </c>
      <c r="I42" s="1124">
        <v>0</v>
      </c>
      <c r="J42" s="1125">
        <v>0</v>
      </c>
      <c r="K42" s="1140">
        <f>Ergebnis!J10</f>
        <v>0</v>
      </c>
    </row>
    <row r="43" spans="2:11" ht="13.5" customHeight="1">
      <c r="B43" s="939"/>
      <c r="C43" s="442" t="s">
        <v>351</v>
      </c>
      <c r="D43" s="473"/>
      <c r="E43" s="473"/>
      <c r="F43" s="475"/>
      <c r="G43" s="1124"/>
      <c r="H43" s="1124"/>
      <c r="I43" s="1124"/>
      <c r="J43" s="1125"/>
      <c r="K43" s="1148"/>
    </row>
    <row r="44" spans="2:11" ht="6" customHeight="1">
      <c r="B44" s="939"/>
      <c r="C44" s="442"/>
      <c r="D44" s="473"/>
      <c r="E44" s="473"/>
      <c r="F44" s="475"/>
      <c r="G44" s="1124"/>
      <c r="H44" s="1124"/>
      <c r="I44" s="1124"/>
      <c r="J44" s="1125"/>
      <c r="K44" s="1138"/>
    </row>
    <row r="45" spans="2:11" ht="19.5" customHeight="1">
      <c r="B45" s="939">
        <f>B42+1</f>
        <v>140</v>
      </c>
      <c r="C45" s="442" t="s">
        <v>212</v>
      </c>
      <c r="D45" s="473"/>
      <c r="E45" s="473"/>
      <c r="F45" s="475" t="s">
        <v>227</v>
      </c>
      <c r="G45" s="1128">
        <v>0</v>
      </c>
      <c r="H45" s="1128">
        <v>0</v>
      </c>
      <c r="I45" s="1128">
        <v>0</v>
      </c>
      <c r="J45" s="1129">
        <v>0</v>
      </c>
      <c r="K45" s="1141">
        <f>Betriebsdaten!P40</f>
        <v>0</v>
      </c>
    </row>
    <row r="46" spans="2:11" ht="6" customHeight="1">
      <c r="B46" s="940"/>
      <c r="C46" s="476"/>
      <c r="D46" s="474"/>
      <c r="E46" s="474"/>
      <c r="F46" s="475"/>
      <c r="G46" s="1124"/>
      <c r="H46" s="1124"/>
      <c r="I46" s="1124"/>
      <c r="J46" s="1125"/>
      <c r="K46" s="1150"/>
    </row>
    <row r="47" spans="2:11" ht="6" customHeight="1">
      <c r="B47" s="941"/>
      <c r="C47" s="200"/>
      <c r="D47" s="477"/>
      <c r="E47" s="477"/>
      <c r="F47" s="478"/>
      <c r="G47" s="1130"/>
      <c r="H47" s="1130"/>
      <c r="I47" s="1130"/>
      <c r="J47" s="1131"/>
      <c r="K47" s="1147"/>
    </row>
    <row r="48" spans="2:11" ht="13.5" customHeight="1">
      <c r="B48" s="939">
        <f>B45+1</f>
        <v>141</v>
      </c>
      <c r="C48" s="442" t="s">
        <v>350</v>
      </c>
      <c r="D48" s="474"/>
      <c r="E48" s="474"/>
      <c r="F48" s="475" t="s">
        <v>226</v>
      </c>
      <c r="G48" s="1124">
        <v>0</v>
      </c>
      <c r="H48" s="1124">
        <v>0</v>
      </c>
      <c r="I48" s="1124">
        <v>0</v>
      </c>
      <c r="J48" s="1125">
        <v>0</v>
      </c>
      <c r="K48" s="1137">
        <f>Ergebnis!J36</f>
        <v>0</v>
      </c>
    </row>
    <row r="49" spans="2:11" ht="13.5" customHeight="1">
      <c r="B49" s="940"/>
      <c r="C49" s="71" t="s">
        <v>351</v>
      </c>
      <c r="D49" s="474"/>
      <c r="E49" s="474"/>
      <c r="F49" s="475"/>
      <c r="G49" s="1128"/>
      <c r="H49" s="1128"/>
      <c r="I49" s="1128"/>
      <c r="J49" s="1129"/>
      <c r="K49" s="1138"/>
    </row>
    <row r="50" spans="2:11" ht="6" customHeight="1">
      <c r="B50" s="942"/>
      <c r="C50" s="71"/>
      <c r="D50" s="474"/>
      <c r="E50" s="474"/>
      <c r="F50" s="475"/>
      <c r="G50" s="1128"/>
      <c r="H50" s="1128"/>
      <c r="I50" s="1128"/>
      <c r="J50" s="1129"/>
      <c r="K50" s="1138"/>
    </row>
    <row r="51" spans="1:11" ht="13.5" customHeight="1">
      <c r="A51" s="454"/>
      <c r="B51" s="939"/>
      <c r="C51" s="442" t="s">
        <v>368</v>
      </c>
      <c r="D51" s="474"/>
      <c r="E51" s="474"/>
      <c r="F51" s="475"/>
      <c r="G51" s="1128"/>
      <c r="H51" s="1128"/>
      <c r="I51" s="1128"/>
      <c r="J51" s="1129"/>
      <c r="K51" s="1138"/>
    </row>
    <row r="52" spans="2:11" ht="13.5" customHeight="1">
      <c r="B52" s="942"/>
      <c r="C52" s="586" t="s">
        <v>213</v>
      </c>
      <c r="D52" s="474"/>
      <c r="E52" s="474"/>
      <c r="F52" s="475" t="s">
        <v>59</v>
      </c>
      <c r="G52" s="1128"/>
      <c r="H52" s="1128"/>
      <c r="I52" s="1128"/>
      <c r="J52" s="1129"/>
      <c r="K52" s="1138"/>
    </row>
    <row r="53" spans="2:11" ht="6" customHeight="1">
      <c r="B53" s="942"/>
      <c r="C53" s="71"/>
      <c r="D53" s="474"/>
      <c r="E53" s="474"/>
      <c r="F53" s="475"/>
      <c r="G53" s="1128"/>
      <c r="H53" s="1128"/>
      <c r="I53" s="1128"/>
      <c r="J53" s="1129"/>
      <c r="K53" s="1138"/>
    </row>
    <row r="54" spans="2:11" ht="19.5" customHeight="1">
      <c r="B54" s="939">
        <f>B48+1</f>
        <v>142</v>
      </c>
      <c r="C54" s="71" t="s">
        <v>214</v>
      </c>
      <c r="D54" s="109"/>
      <c r="E54" s="109"/>
      <c r="F54" s="475" t="s">
        <v>52</v>
      </c>
      <c r="G54" s="1124">
        <v>0</v>
      </c>
      <c r="H54" s="1124">
        <v>0</v>
      </c>
      <c r="I54" s="1124">
        <v>0</v>
      </c>
      <c r="J54" s="1125">
        <v>0</v>
      </c>
      <c r="K54" s="1137">
        <f>Ergebnis!J46</f>
        <v>0</v>
      </c>
    </row>
    <row r="55" spans="2:11" ht="6" customHeight="1">
      <c r="B55" s="939"/>
      <c r="C55" s="71"/>
      <c r="D55" s="474"/>
      <c r="E55" s="474"/>
      <c r="F55" s="475"/>
      <c r="G55" s="1124"/>
      <c r="H55" s="1124"/>
      <c r="I55" s="1124"/>
      <c r="J55" s="1125"/>
      <c r="K55" s="1138"/>
    </row>
    <row r="56" spans="2:11" ht="19.5" customHeight="1">
      <c r="B56" s="939">
        <f>B54+1</f>
        <v>143</v>
      </c>
      <c r="C56" s="71" t="s">
        <v>215</v>
      </c>
      <c r="D56" s="109"/>
      <c r="E56" s="109"/>
      <c r="F56" s="475" t="s">
        <v>52</v>
      </c>
      <c r="G56" s="1124">
        <v>0</v>
      </c>
      <c r="H56" s="1124">
        <v>0</v>
      </c>
      <c r="I56" s="1124">
        <v>0</v>
      </c>
      <c r="J56" s="1125">
        <v>0</v>
      </c>
      <c r="K56" s="1137">
        <f>Ergebnis!J49</f>
        <v>0</v>
      </c>
    </row>
    <row r="57" spans="2:11" ht="6" customHeight="1">
      <c r="B57" s="939"/>
      <c r="C57" s="71"/>
      <c r="D57" s="474"/>
      <c r="E57" s="474"/>
      <c r="F57" s="475"/>
      <c r="G57" s="1124"/>
      <c r="H57" s="1124"/>
      <c r="I57" s="1124"/>
      <c r="J57" s="1125"/>
      <c r="K57" s="1138"/>
    </row>
    <row r="58" spans="2:11" ht="13.5" customHeight="1">
      <c r="B58" s="939">
        <f>B56+1</f>
        <v>144</v>
      </c>
      <c r="C58" s="432" t="s">
        <v>369</v>
      </c>
      <c r="D58" s="206"/>
      <c r="E58" s="206"/>
      <c r="F58" s="475" t="s">
        <v>52</v>
      </c>
      <c r="G58" s="1124">
        <v>0</v>
      </c>
      <c r="H58" s="1124">
        <v>0</v>
      </c>
      <c r="I58" s="1124">
        <v>0</v>
      </c>
      <c r="J58" s="1125">
        <v>0</v>
      </c>
      <c r="K58" s="1137">
        <f>Ergebnis!J52</f>
        <v>0</v>
      </c>
    </row>
    <row r="59" spans="2:11" ht="13.5" customHeight="1">
      <c r="B59" s="939"/>
      <c r="C59" s="71" t="s">
        <v>216</v>
      </c>
      <c r="D59" s="109"/>
      <c r="E59" s="109"/>
      <c r="F59" s="475"/>
      <c r="G59" s="1128"/>
      <c r="H59" s="1128"/>
      <c r="I59" s="1128"/>
      <c r="J59" s="1129"/>
      <c r="K59" s="1138"/>
    </row>
    <row r="60" spans="2:11" ht="6" customHeight="1" thickBot="1">
      <c r="B60" s="479"/>
      <c r="C60" s="480"/>
      <c r="D60" s="480"/>
      <c r="E60" s="480"/>
      <c r="F60" s="481"/>
      <c r="G60" s="1132"/>
      <c r="H60" s="1133"/>
      <c r="I60" s="1133"/>
      <c r="J60" s="1134"/>
      <c r="K60" s="1151"/>
    </row>
    <row r="62" ht="12.75">
      <c r="A62" s="454"/>
    </row>
  </sheetData>
  <sheetProtection sheet="1" objects="1" scenarios="1"/>
  <mergeCells count="1">
    <mergeCell ref="F5:G5"/>
  </mergeCells>
  <conditionalFormatting sqref="G48:J48">
    <cfRule type="cellIs" priority="1" dxfId="4" operator="lessThan" stopIfTrue="1">
      <formula>0</formula>
    </cfRule>
  </conditionalFormatting>
  <printOptions horizontalCentered="1"/>
  <pageMargins left="0.5" right="0.51" top="0.5905511811023623" bottom="0.5905511811023623" header="0.1968503937007874" footer="0.1968503937007874"/>
  <pageSetup horizontalDpi="600" verticalDpi="600" orientation="portrait" paperSize="9" scale="87" r:id="rId2"/>
  <headerFooter alignWithMargins="0">
    <oddFooter>&amp;L&amp;8LEL Schwäbisch Gmünd 
Abt. 2&amp;C&amp;8&amp;F
&amp;A&amp;R&amp;8&amp;D
&amp;"Arial,Fett"&amp;12Seite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BAUKUH Version 2.3</dc:title>
  <dc:subject>Wirtschaftlichkeitsberechnung für Investitionen im Milchviehbereich</dc:subject>
  <dc:creator>Dr.Segger, Bäger</dc:creator>
  <cp:keywords>Rentabilität, Investitionen, Milchviehhaltung</cp:keywords>
  <dc:description>Version 2.4
Stand 14.07.2010</dc:description>
  <cp:lastModifiedBy>magerg</cp:lastModifiedBy>
  <cp:lastPrinted>2010-07-28T11:43:08Z</cp:lastPrinted>
  <dcterms:created xsi:type="dcterms:W3CDTF">1998-03-17T15:56:57Z</dcterms:created>
  <dcterms:modified xsi:type="dcterms:W3CDTF">2010-07-28T15:08:26Z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