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15" windowWidth="9690" windowHeight="5670" activeTab="0"/>
  </bookViews>
  <sheets>
    <sheet name="Seite 1 " sheetId="1" r:id="rId1"/>
    <sheet name="Seite 2" sheetId="2" r:id="rId2"/>
    <sheet name="Seite 3" sheetId="3" r:id="rId3"/>
    <sheet name="Folie 1" sheetId="4" r:id="rId4"/>
    <sheet name="Folie 2" sheetId="5" r:id="rId5"/>
    <sheet name="Dia" sheetId="6" r:id="rId6"/>
  </sheets>
  <externalReferences>
    <externalReference r:id="rId9"/>
  </externalReferences>
  <definedNames>
    <definedName name="_Order1" hidden="1">255</definedName>
    <definedName name="_Order2" hidden="1">255</definedName>
    <definedName name="_xlnm.Print_Area" localSheetId="3">'Folie 1'!$B$2:$K$32</definedName>
    <definedName name="_xlnm.Print_Area" localSheetId="4">'Folie 2'!$B$2:$K$29</definedName>
    <definedName name="_xlnm.Print_Area" localSheetId="0">'Seite 1 '!$B$2:$O$63</definedName>
    <definedName name="_xlnm.Print_Area" localSheetId="2">'Seite 3'!$B$2:$L$42</definedName>
    <definedName name="ZUIST">'Seite 3'!$B$9:$D$38</definedName>
    <definedName name="ZUSTÜCKIST">'Seite 3'!$B$9:$F$38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SeggerV</author>
  </authors>
  <commentList>
    <comment ref="I60" authorId="0">
      <text>
        <r>
          <rPr>
            <sz val="8"/>
            <rFont val="Tahoma"/>
            <family val="0"/>
          </rPr>
          <t>Wenn auf Seite 2 auf eine detaillierte Berechnung verzichtet wird, kann hier pauschal ein Wert eingegeben werden.</t>
        </r>
      </text>
    </comment>
    <comment ref="I52" authorId="1">
      <text>
        <r>
          <rPr>
            <sz val="8"/>
            <rFont val="Tahoma"/>
            <family val="0"/>
          </rPr>
          <t>Hier sind die Stunden von AK einzutragen, deren Einsatzumfang von der Zahl der gehaltenen Stuten abhängt. Dies ist in der Praxis die Ausnahme.</t>
        </r>
      </text>
    </comment>
  </commentList>
</comments>
</file>

<file path=xl/sharedStrings.xml><?xml version="1.0" encoding="utf-8"?>
<sst xmlns="http://schemas.openxmlformats.org/spreadsheetml/2006/main" count="273" uniqueCount="213">
  <si>
    <t>Vollkosten - Rechnung</t>
  </si>
  <si>
    <t>Bestandsgröße (St.)</t>
  </si>
  <si>
    <t xml:space="preserve">Umtriebe / Jahr </t>
  </si>
  <si>
    <t>dav.</t>
  </si>
  <si>
    <t>Hauptprodukt</t>
  </si>
  <si>
    <t>Nebenprodukt</t>
  </si>
  <si>
    <t>Altpferd</t>
  </si>
  <si>
    <t xml:space="preserve"> Düngerwert insgesamt</t>
  </si>
  <si>
    <t xml:space="preserve">Ausscheidung    </t>
  </si>
  <si>
    <t xml:space="preserve">Verluste                       </t>
  </si>
  <si>
    <t xml:space="preserve">Nährstoff- </t>
  </si>
  <si>
    <t xml:space="preserve">Preis je kg                            </t>
  </si>
  <si>
    <t xml:space="preserve">Düngerwert                      </t>
  </si>
  <si>
    <t>kg / Einheit</t>
  </si>
  <si>
    <t xml:space="preserve"> in %</t>
  </si>
  <si>
    <t>anfall in kg</t>
  </si>
  <si>
    <t>Reinnährstoff</t>
  </si>
  <si>
    <t>N</t>
  </si>
  <si>
    <r>
      <t>P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5</t>
    </r>
  </si>
  <si>
    <r>
      <t>K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</si>
  <si>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t xml:space="preserve"> Verfahrensunabhängige Ausgleichsleistungen insgesamt</t>
  </si>
  <si>
    <t>GAP-Prämie Tierhaltung</t>
  </si>
  <si>
    <t>entgangene GAP-Prämie Fläche</t>
  </si>
  <si>
    <t xml:space="preserve"> Summe Leistungen </t>
  </si>
  <si>
    <t xml:space="preserve"> Bestandsergänzung</t>
  </si>
  <si>
    <t>Jungstute</t>
  </si>
  <si>
    <t xml:space="preserve"> Aufzuchtkosten</t>
  </si>
  <si>
    <t>dt Futter</t>
  </si>
  <si>
    <t>Futterkosten</t>
  </si>
  <si>
    <t>Son.Kosten</t>
  </si>
  <si>
    <t>Menge</t>
  </si>
  <si>
    <t>Nährstoff- einheit:</t>
  </si>
  <si>
    <t>je kg</t>
  </si>
  <si>
    <t>insgesamt</t>
  </si>
  <si>
    <t>Getreide</t>
  </si>
  <si>
    <t>Ergänzungsfutter</t>
  </si>
  <si>
    <t>Leckstein</t>
  </si>
  <si>
    <t>Mineralfutter</t>
  </si>
  <si>
    <t>Insgesamt</t>
  </si>
  <si>
    <t xml:space="preserve"> Sonstige Kosten insgesamt</t>
  </si>
  <si>
    <t>Verluste/Versichg., Tierseuchenkasse</t>
  </si>
  <si>
    <t>Deckgeld, MLP, ZV-Beitrag</t>
  </si>
  <si>
    <t>Energie, Wasser, Geräte, Hilfsmittel</t>
  </si>
  <si>
    <t xml:space="preserve"> Variable Lohnkosten</t>
  </si>
  <si>
    <t xml:space="preserve">nichtständige AKh </t>
  </si>
  <si>
    <t xml:space="preserve"> Zinsansatz</t>
  </si>
  <si>
    <t>Zinssatz ( i )</t>
  </si>
  <si>
    <t xml:space="preserve">dschn.Kap.bindung </t>
  </si>
  <si>
    <t xml:space="preserve"> Monate</t>
  </si>
  <si>
    <t xml:space="preserve"> Summe variable Kosten</t>
  </si>
  <si>
    <t xml:space="preserve"> Deckungsbeitrag ( DB )</t>
  </si>
  <si>
    <t xml:space="preserve"> Arbeitszeitbedarf  (der ständigen AK)</t>
  </si>
  <si>
    <t xml:space="preserve"> AKh/Einheit </t>
  </si>
  <si>
    <t xml:space="preserve"> Futteranspruch</t>
  </si>
  <si>
    <t xml:space="preserve"> Nährstoffbedarf insgesamt</t>
  </si>
  <si>
    <t>Kraftfutter</t>
  </si>
  <si>
    <t>Grundfutterverbrauch</t>
  </si>
  <si>
    <t xml:space="preserve"> % Verluste im Stall)</t>
  </si>
  <si>
    <t>dav. Winterfütterung</t>
  </si>
  <si>
    <t xml:space="preserve">Winterfuttertage </t>
  </si>
  <si>
    <t xml:space="preserve"> Arbeitszeitbedarf</t>
  </si>
  <si>
    <t>Z e i t s p a n n e</t>
  </si>
  <si>
    <t>insg. / Einheit</t>
  </si>
  <si>
    <t>Rest</t>
  </si>
  <si>
    <r>
      <t xml:space="preserve"> Sonderarbeiten </t>
    </r>
    <r>
      <rPr>
        <sz val="8"/>
        <rFont val="Arial"/>
        <family val="2"/>
      </rPr>
      <t>(</t>
    </r>
    <r>
      <rPr>
        <b/>
        <sz val="8"/>
        <rFont val="Arial"/>
        <family val="0"/>
      </rPr>
      <t>AKh</t>
    </r>
    <r>
      <rPr>
        <sz val="8"/>
        <rFont val="Arial"/>
        <family val="2"/>
      </rPr>
      <t xml:space="preserve">/Einheit) </t>
    </r>
  </si>
  <si>
    <r>
      <t xml:space="preserve"> AK</t>
    </r>
    <r>
      <rPr>
        <b/>
        <sz val="10"/>
        <rFont val="Arial"/>
        <family val="0"/>
      </rPr>
      <t>min</t>
    </r>
    <r>
      <rPr>
        <sz val="10"/>
        <rFont val="Arial"/>
        <family val="2"/>
      </rPr>
      <t xml:space="preserve"> je Einh. u. Tag insg.</t>
    </r>
  </si>
  <si>
    <t xml:space="preserve"> AKh je Einheit </t>
  </si>
  <si>
    <t>dav. nichtständ. AK (AKh)</t>
  </si>
  <si>
    <t>dav. ständige AK (AKh)</t>
  </si>
  <si>
    <t xml:space="preserve"> Sonstige Faktoransprüche</t>
  </si>
  <si>
    <t>Einheit</t>
  </si>
  <si>
    <t>Anzahl</t>
  </si>
  <si>
    <t xml:space="preserve"> Bemerkungen</t>
  </si>
  <si>
    <r>
      <t xml:space="preserve">  m</t>
    </r>
    <r>
      <rPr>
        <vertAlign val="superscript"/>
        <sz val="10"/>
        <color indexed="8"/>
        <rFont val="Arial"/>
        <family val="2"/>
      </rPr>
      <t>3</t>
    </r>
  </si>
  <si>
    <t>Silage</t>
  </si>
  <si>
    <t>Stroh und Heu</t>
  </si>
  <si>
    <t xml:space="preserve"> Vollkosten - Rechnung</t>
  </si>
  <si>
    <t xml:space="preserve"> Feste Maschinenkosten Tierhaltung</t>
  </si>
  <si>
    <t>Nutzungs-</t>
  </si>
  <si>
    <t>Anschaffungs-</t>
  </si>
  <si>
    <t>Jahreskosten</t>
  </si>
  <si>
    <t xml:space="preserve">Anteil (%) </t>
  </si>
  <si>
    <t xml:space="preserve"> Kosten insg.</t>
  </si>
  <si>
    <t>dauer ( J.)</t>
  </si>
  <si>
    <t>in (%)</t>
  </si>
  <si>
    <t>Betriebszweig</t>
  </si>
  <si>
    <t xml:space="preserve"> Futteranlage, -mischer</t>
  </si>
  <si>
    <t xml:space="preserve"> Dung- und Gülleausbringung</t>
  </si>
  <si>
    <t xml:space="preserve"> Futtervorlage </t>
  </si>
  <si>
    <t xml:space="preserve"> Feste Maschinenkosten insgesamt</t>
  </si>
  <si>
    <r>
      <t xml:space="preserve"> je Einheit        </t>
    </r>
    <r>
      <rPr>
        <sz val="10"/>
        <rFont val="Arial"/>
        <family val="2"/>
      </rPr>
      <t>Stück</t>
    </r>
  </si>
  <si>
    <t xml:space="preserve"> Feste Gebäudekosten Tierhaltung</t>
  </si>
  <si>
    <t xml:space="preserve"> Unterhaltung in %:</t>
  </si>
  <si>
    <r>
      <t xml:space="preserve"> Stall </t>
    </r>
    <r>
      <rPr>
        <sz val="8"/>
        <rFont val="Arial"/>
        <family val="2"/>
      </rPr>
      <t>(ohne masch. Einricht., s.o.)</t>
    </r>
  </si>
  <si>
    <t xml:space="preserve"> Stalleinrichtung, -technik</t>
  </si>
  <si>
    <t xml:space="preserve"> Dung-/ Güllelager</t>
  </si>
  <si>
    <t>Stall ( Umbau von Altgebäuden )</t>
  </si>
  <si>
    <t xml:space="preserve"> Feste Gebäudekosten insgesamt</t>
  </si>
  <si>
    <t xml:space="preserve"> Übertrag Summe Festkosten </t>
  </si>
  <si>
    <r>
      <t xml:space="preserve"> Arbeitskosten </t>
    </r>
    <r>
      <rPr>
        <sz val="11"/>
        <rFont val="Arial"/>
        <family val="0"/>
      </rPr>
      <t>( ständige AK )</t>
    </r>
  </si>
  <si>
    <t>AKh je Einheit</t>
  </si>
  <si>
    <t xml:space="preserve"> Jahr insgesamt</t>
  </si>
  <si>
    <t xml:space="preserve"> dav. AK 1</t>
  </si>
  <si>
    <t xml:space="preserve"> dav. AK 2</t>
  </si>
  <si>
    <t xml:space="preserve"> Sonstige feste Spezialkosten</t>
  </si>
  <si>
    <t xml:space="preserve"> Gemeinkosten</t>
  </si>
  <si>
    <t>Anteil (%) Betriebszweig</t>
  </si>
  <si>
    <r>
      <t xml:space="preserve"> Summe feste Spezial- u Gemeinkosten  </t>
    </r>
    <r>
      <rPr>
        <sz val="11"/>
        <rFont val="Arial"/>
        <family val="0"/>
      </rPr>
      <t>( inkl. Arbeit )</t>
    </r>
  </si>
  <si>
    <t xml:space="preserve"> Summe Kosten</t>
  </si>
  <si>
    <t xml:space="preserve"> Neben- und Ausgleichsleistungen</t>
  </si>
  <si>
    <t xml:space="preserve"> Verwertung der ... </t>
  </si>
  <si>
    <t xml:space="preserve">AKh / Einheit </t>
  </si>
  <si>
    <t xml:space="preserve"> ... Gebäude</t>
  </si>
  <si>
    <t xml:space="preserve">Jahreskosten in % </t>
  </si>
  <si>
    <t xml:space="preserve"> = Verwertung der Arbeit bei fehlender Nutzungsalternative d. Gebäude</t>
  </si>
  <si>
    <t xml:space="preserve"> Vollkosten-Rechnung</t>
  </si>
  <si>
    <t xml:space="preserve"> Erlös :</t>
  </si>
  <si>
    <t>Verfahrensunabh. Ausgl.leistungen</t>
  </si>
  <si>
    <t xml:space="preserve"> Summe Leistungen</t>
  </si>
  <si>
    <t xml:space="preserve"> Summe variable Kosten </t>
  </si>
  <si>
    <t>Feste Maschinenkosten Tierhaltung</t>
  </si>
  <si>
    <t>Feste Gebäudekosten Tierhaltung</t>
  </si>
  <si>
    <t>Sonstige Fest- u. Gemeinkosten</t>
  </si>
  <si>
    <t xml:space="preserve"> Summe weitere Kosten</t>
  </si>
  <si>
    <t>Erlös :</t>
  </si>
  <si>
    <r>
      <t xml:space="preserve">Langfristige Betrachtung </t>
    </r>
    <r>
      <rPr>
        <sz val="18"/>
        <rFont val="Arial"/>
        <family val="0"/>
      </rPr>
      <t>( alle Kosten abgedeckt )</t>
    </r>
  </si>
  <si>
    <t>Verwertung der Gebäude</t>
  </si>
  <si>
    <t>Max.  Jahreskosten  Milchquote</t>
  </si>
  <si>
    <r>
      <t xml:space="preserve">Mittelfristige Betrachtung  </t>
    </r>
    <r>
      <rPr>
        <sz val="18"/>
        <rFont val="Arial"/>
        <family val="0"/>
      </rPr>
      <t>( ohne Gebäudekosten )</t>
    </r>
  </si>
  <si>
    <t>Max. Jahreskosten Milchquote</t>
  </si>
  <si>
    <r>
      <t xml:space="preserve">Kurzfrist. Betrachtung </t>
    </r>
    <r>
      <rPr>
        <sz val="18"/>
        <rFont val="Arial"/>
        <family val="0"/>
      </rPr>
      <t>( ohne Gebäude- u. Arbeitskosten )</t>
    </r>
  </si>
  <si>
    <t xml:space="preserve"> € / kg</t>
  </si>
  <si>
    <t xml:space="preserve"> € / AKh</t>
  </si>
  <si>
    <t xml:space="preserve">€ / AKh </t>
  </si>
  <si>
    <t>€/AKh</t>
  </si>
  <si>
    <t>€/Einheit</t>
  </si>
  <si>
    <t>Betrieb insgesamt (€)</t>
  </si>
  <si>
    <t xml:space="preserve"> € / Akh </t>
  </si>
  <si>
    <t>wert (€)</t>
  </si>
  <si>
    <t xml:space="preserve">€/AKh </t>
  </si>
  <si>
    <t xml:space="preserve"> €</t>
  </si>
  <si>
    <t>€/  Einheit</t>
  </si>
  <si>
    <t>€/dt</t>
  </si>
  <si>
    <t>Jauchegrube</t>
  </si>
  <si>
    <t>Kostendeckender Erlös</t>
  </si>
  <si>
    <t xml:space="preserve"> Kalkulatorisches Betriebszweigergebnis</t>
  </si>
  <si>
    <t xml:space="preserve"> € / Stute</t>
  </si>
  <si>
    <t>€ / Stute</t>
  </si>
  <si>
    <t>Vermarktungskosten</t>
  </si>
  <si>
    <t>Abfohlrate:</t>
  </si>
  <si>
    <t>unter Anrechnung eines Lohnansatzes</t>
  </si>
  <si>
    <t xml:space="preserve"> Sonstige variable Kosten</t>
  </si>
  <si>
    <r>
      <t xml:space="preserve">Kostendeckender Erlös </t>
    </r>
    <r>
      <rPr>
        <b/>
        <sz val="16"/>
        <rFont val="Arial"/>
        <family val="2"/>
      </rPr>
      <t xml:space="preserve">       ( Kosten abzgl. Nebenleistungen)</t>
    </r>
  </si>
  <si>
    <t>5 Mon. x 0,7 x 1,5 kg / T.</t>
  </si>
  <si>
    <t>€/ Stute</t>
  </si>
  <si>
    <t>€/Stck.</t>
  </si>
  <si>
    <t>€ je Stute</t>
  </si>
  <si>
    <t xml:space="preserve"> Deckungsbeitrag </t>
  </si>
  <si>
    <t>Weide</t>
  </si>
  <si>
    <t>Max. Investitionskosten (bei Neubau)</t>
  </si>
  <si>
    <t>Tierarzt, Medikamente, Hufschmied</t>
  </si>
  <si>
    <t>variable Maschinenkosten (z.B. Mistentsorgung)</t>
  </si>
  <si>
    <t>Stall</t>
  </si>
  <si>
    <t xml:space="preserve"> Futter insgesamt</t>
  </si>
  <si>
    <t>Erg.futter Laktation</t>
  </si>
  <si>
    <t>Fohlenaufzuchtfutter</t>
  </si>
  <si>
    <t>Heu</t>
  </si>
  <si>
    <t>Quelle: DLG Merkblatt 314, veränd.</t>
  </si>
  <si>
    <r>
      <t xml:space="preserve"> je Einheit     </t>
    </r>
    <r>
      <rPr>
        <sz val="10"/>
        <rFont val="Arial"/>
        <family val="2"/>
      </rPr>
      <t>Stück</t>
    </r>
  </si>
  <si>
    <t xml:space="preserve"> - Produktionsverfahren Zuchtstutenhaltung -</t>
  </si>
  <si>
    <t>Bei Pauschalierung der Umsatzsteuer alle Werte brutto, bei Regelbesteuerung alle Werte netto eingeben.</t>
  </si>
  <si>
    <r>
      <t xml:space="preserve"> AK</t>
    </r>
    <r>
      <rPr>
        <b/>
        <sz val="10"/>
        <rFont val="Arial"/>
        <family val="0"/>
      </rPr>
      <t xml:space="preserve">min </t>
    </r>
    <r>
      <rPr>
        <sz val="10"/>
        <rFont val="Arial"/>
        <family val="2"/>
      </rPr>
      <t>je Einheit und Tag (Routine)</t>
    </r>
  </si>
  <si>
    <t>Summe Kosten</t>
  </si>
  <si>
    <t xml:space="preserve"> Futter</t>
  </si>
  <si>
    <t xml:space="preserve"> Stroh- und Heulager</t>
  </si>
  <si>
    <t>Betriebsleiter</t>
  </si>
  <si>
    <t xml:space="preserve">Anteilige Kosten Hänger </t>
  </si>
  <si>
    <t>mit Arbeitskosten der ständigen AK</t>
  </si>
  <si>
    <t>ohne Arbeitskosten der ständigen AK</t>
  </si>
  <si>
    <t>mit Anrechnung von Arbeitskosten der ständigen AK</t>
  </si>
  <si>
    <r>
      <t>ohne</t>
    </r>
    <r>
      <rPr>
        <sz val="16"/>
        <rFont val="Arial"/>
        <family val="2"/>
      </rPr>
      <t xml:space="preserve"> Anrechnung von Arbeitskosten der ständigen AK</t>
    </r>
  </si>
  <si>
    <t>Verwertung der Arbeit der ständigen AK</t>
  </si>
  <si>
    <t>Arbeitskosten der ständigen AK</t>
  </si>
  <si>
    <t xml:space="preserve"> Marktleistungen</t>
  </si>
  <si>
    <t>Nutzungsdauer (J)</t>
  </si>
  <si>
    <t xml:space="preserve"> Lagerraum </t>
  </si>
  <si>
    <t xml:space="preserve"> Stallplatz</t>
  </si>
  <si>
    <r>
      <t>m</t>
    </r>
    <r>
      <rPr>
        <vertAlign val="superscript"/>
        <sz val="10"/>
        <color indexed="8"/>
        <rFont val="Arial"/>
        <family val="2"/>
      </rPr>
      <t>2</t>
    </r>
  </si>
  <si>
    <t xml:space="preserve"> Festmistlager (6 Monate)</t>
  </si>
  <si>
    <t xml:space="preserve"> Zinsansatz ( i / 2 ) in %:</t>
  </si>
  <si>
    <t xml:space="preserve"> Anteilige Schlepper</t>
  </si>
  <si>
    <t>ständige Lohn-AK</t>
  </si>
  <si>
    <t xml:space="preserve">durchschnittl. Vieh- und Umlaufvermögen </t>
  </si>
  <si>
    <t xml:space="preserve"> max. Investitionskosten je Platz</t>
  </si>
  <si>
    <t xml:space="preserve"> ... Arbeit der ständigen AK</t>
  </si>
  <si>
    <t xml:space="preserve"> ... Gebäude und Arbeit der ständigen AK</t>
  </si>
  <si>
    <t>Nebenleistungen incl. Düngerwert</t>
  </si>
  <si>
    <t>MJ DE</t>
  </si>
  <si>
    <t>Stck.</t>
  </si>
  <si>
    <t>Abfohlrate</t>
  </si>
  <si>
    <t xml:space="preserve"> (Feld-)Arbeitstage/Jahr </t>
  </si>
  <si>
    <t>Jungpferd</t>
  </si>
  <si>
    <t>dt</t>
  </si>
  <si>
    <t>€ / dt</t>
  </si>
  <si>
    <t>Stroh : 60 dt x 6,-</t>
  </si>
  <si>
    <t>€/Jungpferd</t>
  </si>
  <si>
    <t>Zuchtstute mit Jungpferdeverkauf (36 Mon. alt)</t>
  </si>
  <si>
    <t>Bestands-größe (St.)</t>
  </si>
  <si>
    <t>Nutzungs-dauer (Jahre) 
je Stute</t>
  </si>
  <si>
    <t>Verkaufsalter des Jungpferdes (Mon.)</t>
  </si>
  <si>
    <t>€ / Jungpferd</t>
  </si>
  <si>
    <t>Kosten</t>
  </si>
  <si>
    <t>Kalkulatorisches Betriebszweigergebnis beim obigen Jungpferdepreis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</si>
</sst>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\-0.0"/>
    <numFmt numFmtId="174" formatCode="\-0"/>
    <numFmt numFmtId="175" formatCode="0.0000000000000000\1"/>
    <numFmt numFmtId="176" formatCode="#,##0.0"/>
    <numFmt numFmtId="177" formatCode="_-* #,##0.0\ _D_M_-;\-* #,##0.0\ _D_M_-;_-* &quot;-&quot;??\ _D_M_-;_-@_-"/>
    <numFmt numFmtId="178" formatCode="_-* #,##0\ _D_M_-;\-* #,##0\ _D_M_-;_-* &quot;-&quot;??\ _D_M_-;_-@_-"/>
    <numFmt numFmtId="179" formatCode="0.000"/>
    <numFmt numFmtId="180" formatCode="0.0000"/>
    <numFmt numFmtId="181" formatCode="0.00000"/>
    <numFmt numFmtId="182" formatCode="#,##0;\-#,##0"/>
    <numFmt numFmtId="183" formatCode="#,##0;[Red]\-#,##0"/>
    <numFmt numFmtId="184" formatCode="#,##0.00;\-#,##0.00"/>
    <numFmt numFmtId="185" formatCode="#,##0.00;[Red]\-#,##0.00"/>
    <numFmt numFmtId="186" formatCode="#,##0&quot; DM&quot;;\-#,##0&quot; DM&quot;"/>
    <numFmt numFmtId="187" formatCode="#,##0&quot; DM&quot;;[Red]\-#,##0&quot; DM&quot;"/>
    <numFmt numFmtId="188" formatCode="#,##0.00&quot; DM&quot;;\-#,##0.00&quot; DM&quot;"/>
    <numFmt numFmtId="189" formatCode="#,##0.00&quot; DM&quot;;[Red]\-#,##0.00&quot; DM&quot;"/>
    <numFmt numFmtId="190" formatCode="d/m/yy"/>
    <numFmt numFmtId="191" formatCode="d/\ mmm\ yy"/>
    <numFmt numFmtId="192" formatCode="d/\ mmm"/>
    <numFmt numFmtId="193" formatCode="h:mm"/>
    <numFmt numFmtId="194" formatCode="h:mm:ss"/>
    <numFmt numFmtId="195" formatCode="d/m/yy\ h:mm"/>
    <numFmt numFmtId="196" formatCode="General_)"/>
    <numFmt numFmtId="197" formatCode="#,##0_);\(#,##0\)"/>
    <numFmt numFmtId="198" formatCode="#,##0.0_);\(#,##0.0\)"/>
    <numFmt numFmtId="199" formatCode="#,##0.00_);\(#,##0.00\)"/>
    <numFmt numFmtId="200" formatCode="0.00_)"/>
    <numFmt numFmtId="201" formatCode="0_)"/>
    <numFmt numFmtId="202" formatCode="0.0_)"/>
    <numFmt numFmtId="203" formatCode="#,##0.000"/>
    <numFmt numFmtId="204" formatCode="#,##0&quot; AKh&quot;;\-#,##0&quot; AKh&quot;"/>
    <numFmt numFmtId="205" formatCode="\-0.00"/>
    <numFmt numFmtId="206" formatCode="\-0.000"/>
    <numFmt numFmtId="207" formatCode="\-0,000"/>
    <numFmt numFmtId="208" formatCode="\-#,##0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  <numFmt numFmtId="215" formatCode="#0%"/>
    <numFmt numFmtId="216" formatCode="0.0\ _%"/>
    <numFmt numFmtId="217" formatCode="#,##0\ ;[Red]\-#,##0\ "/>
    <numFmt numFmtId="218" formatCode="0.00_%"/>
    <numFmt numFmtId="219" formatCode="0.00\ &quot;%&quot;"/>
    <numFmt numFmtId="220" formatCode="#,##0.0;[Red]\-#,##0.0"/>
    <numFmt numFmtId="221" formatCode="#,##0_ ;[Red]\-#,##0\ "/>
    <numFmt numFmtId="222" formatCode="#,##0.00_ ;[Red]\-#,##0.00\ "/>
    <numFmt numFmtId="223" formatCode="#,##0\ [$€-1]"/>
    <numFmt numFmtId="224" formatCode="#,##0.00\ &quot;€&quot;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b/>
      <sz val="9"/>
      <color indexed="1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22"/>
      <name val="Arial"/>
      <family val="0"/>
    </font>
    <font>
      <b/>
      <sz val="20"/>
      <name val="Arial"/>
      <family val="0"/>
    </font>
    <font>
      <b/>
      <sz val="18"/>
      <name val="Arial"/>
      <family val="0"/>
    </font>
    <font>
      <i/>
      <sz val="2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0"/>
    </font>
    <font>
      <vertAlign val="subscript"/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helv"/>
      <family val="0"/>
    </font>
    <font>
      <vertAlign val="superscript"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0"/>
    </font>
    <font>
      <i/>
      <sz val="18"/>
      <name val="Arial"/>
      <family val="2"/>
    </font>
    <font>
      <b/>
      <i/>
      <sz val="18"/>
      <name val="Arial"/>
      <family val="0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  <font>
      <sz val="8"/>
      <name val="Tahoma"/>
      <family val="0"/>
    </font>
    <font>
      <b/>
      <i/>
      <sz val="2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22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double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double"/>
      <bottom style="hair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0" fillId="0" borderId="0" xfId="19" applyFont="1" applyAlignment="1" applyProtection="1">
      <alignment vertical="center"/>
      <protection locked="0"/>
    </xf>
    <xf numFmtId="0" fontId="21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17" fillId="0" borderId="0" xfId="20" applyProtection="1">
      <alignment/>
      <protection/>
    </xf>
    <xf numFmtId="0" fontId="20" fillId="0" borderId="0" xfId="19" applyFont="1" applyAlignment="1" applyProtection="1">
      <alignment horizontal="left" vertical="center"/>
      <protection/>
    </xf>
    <xf numFmtId="0" fontId="20" fillId="2" borderId="0" xfId="19" applyFont="1" applyFill="1" applyBorder="1" applyAlignment="1" applyProtection="1">
      <alignment vertical="center"/>
      <protection/>
    </xf>
    <xf numFmtId="0" fontId="20" fillId="0" borderId="0" xfId="19" applyFont="1" applyAlignment="1" applyProtection="1">
      <alignment horizontal="right" vertical="center"/>
      <protection/>
    </xf>
    <xf numFmtId="0" fontId="20" fillId="2" borderId="0" xfId="19" applyFont="1" applyFill="1" applyBorder="1" applyAlignment="1" applyProtection="1">
      <alignment horizontal="right" vertical="center"/>
      <protection/>
    </xf>
    <xf numFmtId="0" fontId="24" fillId="0" borderId="0" xfId="19" applyFont="1" applyAlignment="1" applyProtection="1">
      <alignment horizontal="left" vertical="center"/>
      <protection/>
    </xf>
    <xf numFmtId="1" fontId="25" fillId="2" borderId="0" xfId="19" applyNumberFormat="1" applyFont="1" applyFill="1" applyBorder="1" applyAlignment="1" applyProtection="1">
      <alignment horizontal="centerContinuous" vertical="center"/>
      <protection/>
    </xf>
    <xf numFmtId="0" fontId="20" fillId="0" borderId="0" xfId="19" applyFont="1" applyAlignment="1" applyProtection="1">
      <alignment horizontal="center" vertical="center"/>
      <protection/>
    </xf>
    <xf numFmtId="0" fontId="25" fillId="3" borderId="2" xfId="19" applyFont="1" applyFill="1" applyBorder="1" applyAlignment="1" applyProtection="1">
      <alignment horizontal="centerContinuous" vertical="center"/>
      <protection locked="0"/>
    </xf>
    <xf numFmtId="3" fontId="25" fillId="2" borderId="3" xfId="19" applyNumberFormat="1" applyFont="1" applyFill="1" applyBorder="1" applyAlignment="1" applyProtection="1">
      <alignment horizontal="center" vertical="center"/>
      <protection/>
    </xf>
    <xf numFmtId="3" fontId="25" fillId="0" borderId="4" xfId="19" applyNumberFormat="1" applyFont="1" applyBorder="1" applyAlignment="1" applyProtection="1">
      <alignment horizontal="center" vertical="center" wrapText="1"/>
      <protection/>
    </xf>
    <xf numFmtId="0" fontId="25" fillId="0" borderId="0" xfId="19" applyFont="1" applyAlignment="1" applyProtection="1">
      <alignment horizontal="center" vertical="center"/>
      <protection/>
    </xf>
    <xf numFmtId="0" fontId="25" fillId="0" borderId="2" xfId="20" applyFont="1" applyBorder="1" applyAlignment="1" applyProtection="1">
      <alignment horizontal="center" vertical="center" wrapText="1"/>
      <protection/>
    </xf>
    <xf numFmtId="0" fontId="22" fillId="0" borderId="0" xfId="19" applyFont="1" applyAlignment="1" applyProtection="1">
      <alignment vertical="center"/>
      <protection/>
    </xf>
    <xf numFmtId="0" fontId="22" fillId="2" borderId="1" xfId="19" applyFont="1" applyFill="1" applyBorder="1" applyAlignment="1" applyProtection="1">
      <alignment vertical="center"/>
      <protection/>
    </xf>
    <xf numFmtId="0" fontId="20" fillId="0" borderId="1" xfId="19" applyFont="1" applyBorder="1" applyAlignment="1" applyProtection="1">
      <alignment vertical="center"/>
      <protection/>
    </xf>
    <xf numFmtId="0" fontId="20" fillId="2" borderId="1" xfId="19" applyFont="1" applyFill="1" applyBorder="1" applyAlignment="1" applyProtection="1">
      <alignment vertical="center"/>
      <protection/>
    </xf>
    <xf numFmtId="0" fontId="27" fillId="0" borderId="5" xfId="19" applyFont="1" applyBorder="1" applyAlignment="1" applyProtection="1">
      <alignment horizontal="right" vertical="center"/>
      <protection/>
    </xf>
    <xf numFmtId="0" fontId="28" fillId="0" borderId="0" xfId="19" applyFont="1" applyBorder="1" applyAlignment="1" applyProtection="1">
      <alignment vertical="center"/>
      <protection/>
    </xf>
    <xf numFmtId="3" fontId="22" fillId="0" borderId="2" xfId="19" applyNumberFormat="1" applyFont="1" applyBorder="1" applyAlignment="1" applyProtection="1">
      <alignment horizontal="center" vertical="center"/>
      <protection/>
    </xf>
    <xf numFmtId="0" fontId="25" fillId="0" borderId="6" xfId="19" applyFont="1" applyBorder="1" applyAlignment="1" applyProtection="1">
      <alignment vertical="center"/>
      <protection/>
    </xf>
    <xf numFmtId="0" fontId="20" fillId="0" borderId="6" xfId="19" applyFont="1" applyBorder="1" applyAlignment="1" applyProtection="1">
      <alignment vertical="center"/>
      <protection/>
    </xf>
    <xf numFmtId="0" fontId="20" fillId="0" borderId="7" xfId="19" applyFont="1" applyBorder="1" applyAlignment="1" applyProtection="1">
      <alignment vertical="center"/>
      <protection/>
    </xf>
    <xf numFmtId="3" fontId="20" fillId="0" borderId="8" xfId="19" applyNumberFormat="1" applyFont="1" applyBorder="1" applyAlignment="1" applyProtection="1">
      <alignment vertical="center"/>
      <protection/>
    </xf>
    <xf numFmtId="0" fontId="20" fillId="0" borderId="0" xfId="19" applyFont="1" applyBorder="1" applyAlignment="1" applyProtection="1">
      <alignment vertical="center"/>
      <protection/>
    </xf>
    <xf numFmtId="0" fontId="20" fillId="0" borderId="9" xfId="19" applyFont="1" applyBorder="1" applyAlignment="1" applyProtection="1">
      <alignment vertical="center"/>
      <protection/>
    </xf>
    <xf numFmtId="0" fontId="20" fillId="0" borderId="10" xfId="19" applyFont="1" applyBorder="1" applyAlignment="1" applyProtection="1">
      <alignment vertical="center"/>
      <protection/>
    </xf>
    <xf numFmtId="0" fontId="20" fillId="3" borderId="11" xfId="19" applyFont="1" applyFill="1" applyBorder="1" applyAlignment="1" applyProtection="1">
      <alignment vertical="center"/>
      <protection locked="0"/>
    </xf>
    <xf numFmtId="4" fontId="20" fillId="3" borderId="12" xfId="19" applyNumberFormat="1" applyFont="1" applyFill="1" applyBorder="1" applyAlignment="1" applyProtection="1">
      <alignment vertical="center"/>
      <protection locked="0"/>
    </xf>
    <xf numFmtId="2" fontId="20" fillId="3" borderId="11" xfId="19" applyNumberFormat="1" applyFont="1" applyFill="1" applyBorder="1" applyAlignment="1" applyProtection="1">
      <alignment vertical="center"/>
      <protection locked="0"/>
    </xf>
    <xf numFmtId="3" fontId="20" fillId="0" borderId="13" xfId="19" applyNumberFormat="1" applyFont="1" applyBorder="1" applyAlignment="1" applyProtection="1">
      <alignment vertical="center"/>
      <protection/>
    </xf>
    <xf numFmtId="0" fontId="20" fillId="0" borderId="11" xfId="19" applyFont="1" applyBorder="1" applyAlignment="1" applyProtection="1">
      <alignment vertical="center"/>
      <protection/>
    </xf>
    <xf numFmtId="0" fontId="20" fillId="3" borderId="10" xfId="19" applyFont="1" applyFill="1" applyBorder="1" applyAlignment="1" applyProtection="1">
      <alignment vertical="center"/>
      <protection locked="0"/>
    </xf>
    <xf numFmtId="4" fontId="20" fillId="3" borderId="14" xfId="19" applyNumberFormat="1" applyFont="1" applyFill="1" applyBorder="1" applyAlignment="1" applyProtection="1">
      <alignment vertical="center"/>
      <protection locked="0"/>
    </xf>
    <xf numFmtId="2" fontId="20" fillId="3" borderId="10" xfId="19" applyNumberFormat="1" applyFont="1" applyFill="1" applyBorder="1" applyAlignment="1" applyProtection="1">
      <alignment vertical="center"/>
      <protection locked="0"/>
    </xf>
    <xf numFmtId="3" fontId="20" fillId="0" borderId="15" xfId="19" applyNumberFormat="1" applyFont="1" applyBorder="1" applyAlignment="1" applyProtection="1">
      <alignment vertical="center"/>
      <protection/>
    </xf>
    <xf numFmtId="0" fontId="22" fillId="2" borderId="9" xfId="19" applyFont="1" applyFill="1" applyBorder="1" applyAlignment="1" applyProtection="1">
      <alignment vertical="center"/>
      <protection/>
    </xf>
    <xf numFmtId="0" fontId="25" fillId="2" borderId="9" xfId="19" applyFont="1" applyFill="1" applyBorder="1" applyAlignment="1" applyProtection="1">
      <alignment vertical="center"/>
      <protection/>
    </xf>
    <xf numFmtId="3" fontId="22" fillId="2" borderId="2" xfId="19" applyNumberFormat="1" applyFont="1" applyFill="1" applyBorder="1" applyAlignment="1" applyProtection="1">
      <alignment horizontal="center" vertical="center"/>
      <protection/>
    </xf>
    <xf numFmtId="3" fontId="22" fillId="2" borderId="2" xfId="19" applyNumberFormat="1" applyFont="1" applyFill="1" applyBorder="1" applyAlignment="1" applyProtection="1">
      <alignment horizontal="center" vertical="center"/>
      <protection/>
    </xf>
    <xf numFmtId="0" fontId="20" fillId="0" borderId="9" xfId="19" applyFont="1" applyBorder="1" applyAlignment="1" applyProtection="1">
      <alignment vertical="center"/>
      <protection/>
    </xf>
    <xf numFmtId="0" fontId="20" fillId="2" borderId="9" xfId="19" applyFont="1" applyFill="1" applyBorder="1" applyAlignment="1" applyProtection="1">
      <alignment vertical="center"/>
      <protection/>
    </xf>
    <xf numFmtId="1" fontId="20" fillId="3" borderId="16" xfId="19" applyNumberFormat="1" applyFont="1" applyFill="1" applyBorder="1" applyAlignment="1" applyProtection="1">
      <alignment vertical="center"/>
      <protection locked="0"/>
    </xf>
    <xf numFmtId="2" fontId="20" fillId="3" borderId="9" xfId="19" applyNumberFormat="1" applyFont="1" applyFill="1" applyBorder="1" applyAlignment="1" applyProtection="1">
      <alignment vertical="center"/>
      <protection locked="0"/>
    </xf>
    <xf numFmtId="2" fontId="20" fillId="0" borderId="17" xfId="19" applyNumberFormat="1" applyFont="1" applyBorder="1" applyAlignment="1" applyProtection="1">
      <alignment vertical="center"/>
      <protection/>
    </xf>
    <xf numFmtId="0" fontId="20" fillId="3" borderId="9" xfId="19" applyFont="1" applyFill="1" applyBorder="1" applyAlignment="1" applyProtection="1">
      <alignment vertical="center"/>
      <protection locked="0"/>
    </xf>
    <xf numFmtId="0" fontId="20" fillId="3" borderId="0" xfId="19" applyFont="1" applyFill="1" applyBorder="1" applyAlignment="1" applyProtection="1">
      <alignment vertical="center"/>
      <protection locked="0"/>
    </xf>
    <xf numFmtId="0" fontId="22" fillId="0" borderId="1" xfId="19" applyFont="1" applyBorder="1" applyAlignment="1" applyProtection="1">
      <alignment vertical="center"/>
      <protection/>
    </xf>
    <xf numFmtId="0" fontId="25" fillId="0" borderId="1" xfId="19" applyFont="1" applyBorder="1" applyAlignment="1" applyProtection="1">
      <alignment vertical="center"/>
      <protection/>
    </xf>
    <xf numFmtId="0" fontId="25" fillId="2" borderId="1" xfId="19" applyFont="1" applyFill="1" applyBorder="1" applyAlignment="1" applyProtection="1">
      <alignment vertical="center"/>
      <protection/>
    </xf>
    <xf numFmtId="0" fontId="27" fillId="0" borderId="5" xfId="19" applyFont="1" applyBorder="1" applyAlignment="1" applyProtection="1">
      <alignment horizontal="right" vertical="center"/>
      <protection/>
    </xf>
    <xf numFmtId="3" fontId="20" fillId="0" borderId="0" xfId="19" applyNumberFormat="1" applyFont="1" applyAlignment="1" applyProtection="1">
      <alignment vertical="center"/>
      <protection/>
    </xf>
    <xf numFmtId="0" fontId="20" fillId="3" borderId="16" xfId="19" applyFont="1" applyFill="1" applyBorder="1" applyAlignment="1" applyProtection="1">
      <alignment vertical="center"/>
      <protection locked="0"/>
    </xf>
    <xf numFmtId="0" fontId="20" fillId="0" borderId="18" xfId="19" applyFont="1" applyBorder="1" applyAlignment="1" applyProtection="1">
      <alignment vertical="center"/>
      <protection/>
    </xf>
    <xf numFmtId="0" fontId="20" fillId="3" borderId="18" xfId="19" applyFont="1" applyFill="1" applyBorder="1" applyAlignment="1" applyProtection="1">
      <alignment vertical="center"/>
      <protection locked="0"/>
    </xf>
    <xf numFmtId="0" fontId="20" fillId="3" borderId="19" xfId="19" applyFont="1" applyFill="1" applyBorder="1" applyAlignment="1" applyProtection="1">
      <alignment vertical="center"/>
      <protection locked="0"/>
    </xf>
    <xf numFmtId="3" fontId="20" fillId="3" borderId="20" xfId="19" applyNumberFormat="1" applyFont="1" applyFill="1" applyBorder="1" applyAlignment="1" applyProtection="1">
      <alignment vertical="center"/>
      <protection locked="0"/>
    </xf>
    <xf numFmtId="0" fontId="25" fillId="0" borderId="0" xfId="19" applyFont="1" applyBorder="1" applyAlignment="1" applyProtection="1">
      <alignment vertical="center"/>
      <protection/>
    </xf>
    <xf numFmtId="3" fontId="20" fillId="0" borderId="0" xfId="19" applyNumberFormat="1" applyFont="1" applyBorder="1" applyAlignment="1" applyProtection="1">
      <alignment vertical="center"/>
      <protection/>
    </xf>
    <xf numFmtId="0" fontId="23" fillId="2" borderId="1" xfId="19" applyFont="1" applyFill="1" applyBorder="1" applyAlignment="1" applyProtection="1">
      <alignment vertical="center"/>
      <protection/>
    </xf>
    <xf numFmtId="3" fontId="23" fillId="0" borderId="21" xfId="19" applyNumberFormat="1" applyFont="1" applyBorder="1" applyAlignment="1" applyProtection="1">
      <alignment horizontal="center" vertical="center"/>
      <protection/>
    </xf>
    <xf numFmtId="3" fontId="20" fillId="0" borderId="22" xfId="19" applyNumberFormat="1" applyFont="1" applyBorder="1" applyAlignment="1" applyProtection="1">
      <alignment vertical="center"/>
      <protection/>
    </xf>
    <xf numFmtId="0" fontId="20" fillId="0" borderId="1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2" fillId="2" borderId="6" xfId="19" applyFont="1" applyFill="1" applyBorder="1" applyAlignment="1" applyProtection="1">
      <alignment vertical="center"/>
      <protection/>
    </xf>
    <xf numFmtId="0" fontId="25" fillId="2" borderId="6" xfId="19" applyFont="1" applyFill="1" applyBorder="1" applyAlignment="1" applyProtection="1">
      <alignment vertical="center"/>
      <protection/>
    </xf>
    <xf numFmtId="0" fontId="20" fillId="0" borderId="6" xfId="19" applyFont="1" applyBorder="1" applyAlignment="1" applyProtection="1">
      <alignment vertical="center"/>
      <protection/>
    </xf>
    <xf numFmtId="0" fontId="29" fillId="0" borderId="6" xfId="19" applyFont="1" applyBorder="1" applyAlignment="1" applyProtection="1">
      <alignment horizontal="centerContinuous" vertical="center"/>
      <protection/>
    </xf>
    <xf numFmtId="0" fontId="29" fillId="0" borderId="23" xfId="19" applyFont="1" applyFill="1" applyBorder="1" applyAlignment="1" applyProtection="1">
      <alignment horizontal="center" vertical="center" wrapText="1"/>
      <protection/>
    </xf>
    <xf numFmtId="2" fontId="20" fillId="3" borderId="18" xfId="19" applyNumberFormat="1" applyFont="1" applyFill="1" applyBorder="1" applyAlignment="1" applyProtection="1">
      <alignment vertical="center"/>
      <protection locked="0"/>
    </xf>
    <xf numFmtId="0" fontId="22" fillId="0" borderId="9" xfId="19" applyFont="1" applyBorder="1" applyAlignment="1" applyProtection="1">
      <alignment vertical="center"/>
      <protection/>
    </xf>
    <xf numFmtId="4" fontId="29" fillId="2" borderId="9" xfId="17" applyNumberFormat="1" applyFont="1" applyFill="1" applyBorder="1" applyAlignment="1" applyProtection="1">
      <alignment horizontal="center" vertical="center"/>
      <protection/>
    </xf>
    <xf numFmtId="4" fontId="20" fillId="3" borderId="22" xfId="17" applyNumberFormat="1" applyFont="1" applyFill="1" applyBorder="1" applyAlignment="1" applyProtection="1">
      <alignment vertical="center"/>
      <protection locked="0"/>
    </xf>
    <xf numFmtId="4" fontId="20" fillId="3" borderId="24" xfId="17" applyNumberFormat="1" applyFont="1" applyFill="1" applyBorder="1" applyAlignment="1" applyProtection="1">
      <alignment vertical="center"/>
      <protection locked="0"/>
    </xf>
    <xf numFmtId="3" fontId="20" fillId="3" borderId="25" xfId="19" applyNumberFormat="1" applyFont="1" applyFill="1" applyBorder="1" applyAlignment="1" applyProtection="1">
      <alignment vertical="center"/>
      <protection locked="0"/>
    </xf>
    <xf numFmtId="0" fontId="22" fillId="0" borderId="7" xfId="19" applyFont="1" applyBorder="1" applyAlignment="1" applyProtection="1">
      <alignment vertical="center"/>
      <protection/>
    </xf>
    <xf numFmtId="0" fontId="25" fillId="0" borderId="7" xfId="19" applyFont="1" applyBorder="1" applyAlignment="1" applyProtection="1">
      <alignment vertical="center"/>
      <protection/>
    </xf>
    <xf numFmtId="0" fontId="29" fillId="0" borderId="12" xfId="19" applyFont="1" applyBorder="1" applyAlignment="1" applyProtection="1">
      <alignment horizontal="centerContinuous"/>
      <protection/>
    </xf>
    <xf numFmtId="0" fontId="22" fillId="0" borderId="9" xfId="19" applyFont="1" applyBorder="1" applyAlignment="1" applyProtection="1">
      <alignment vertical="center"/>
      <protection/>
    </xf>
    <xf numFmtId="0" fontId="29" fillId="0" borderId="26" xfId="19" applyFont="1" applyFill="1" applyBorder="1" applyAlignment="1" applyProtection="1">
      <alignment horizontal="center" vertical="center" wrapText="1"/>
      <protection/>
    </xf>
    <xf numFmtId="0" fontId="29" fillId="0" borderId="9" xfId="19" applyFont="1" applyFill="1" applyBorder="1" applyAlignment="1" applyProtection="1">
      <alignment horizontal="center" vertical="center" wrapText="1"/>
      <protection/>
    </xf>
    <xf numFmtId="0" fontId="20" fillId="0" borderId="10" xfId="19" applyFont="1" applyFill="1" applyBorder="1" applyAlignment="1" applyProtection="1">
      <alignment vertical="center"/>
      <protection/>
    </xf>
    <xf numFmtId="4" fontId="20" fillId="3" borderId="14" xfId="17" applyNumberFormat="1" applyFont="1" applyFill="1" applyBorder="1" applyAlignment="1" applyProtection="1">
      <alignment vertical="center"/>
      <protection locked="0"/>
    </xf>
    <xf numFmtId="3" fontId="20" fillId="0" borderId="10" xfId="17" applyNumberFormat="1" applyFont="1" applyFill="1" applyBorder="1" applyAlignment="1" applyProtection="1">
      <alignment vertical="center"/>
      <protection/>
    </xf>
    <xf numFmtId="3" fontId="20" fillId="0" borderId="27" xfId="19" applyNumberFormat="1" applyFont="1" applyBorder="1" applyAlignment="1" applyProtection="1">
      <alignment vertical="center"/>
      <protection/>
    </xf>
    <xf numFmtId="4" fontId="20" fillId="3" borderId="26" xfId="19" applyNumberFormat="1" applyFont="1" applyFill="1" applyBorder="1" applyAlignment="1" applyProtection="1">
      <alignment vertical="center"/>
      <protection locked="0"/>
    </xf>
    <xf numFmtId="4" fontId="20" fillId="3" borderId="22" xfId="19" applyNumberFormat="1" applyFont="1" applyFill="1" applyBorder="1" applyAlignment="1" applyProtection="1">
      <alignment vertical="center"/>
      <protection locked="0"/>
    </xf>
    <xf numFmtId="0" fontId="20" fillId="0" borderId="1" xfId="19" applyFont="1" applyFill="1" applyBorder="1" applyAlignment="1" applyProtection="1">
      <alignment vertical="center"/>
      <protection/>
    </xf>
    <xf numFmtId="3" fontId="20" fillId="0" borderId="1" xfId="17" applyNumberFormat="1" applyFont="1" applyFill="1" applyBorder="1" applyAlignment="1" applyProtection="1">
      <alignment vertical="center"/>
      <protection/>
    </xf>
    <xf numFmtId="3" fontId="20" fillId="0" borderId="5" xfId="19" applyNumberFormat="1" applyFont="1" applyFill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vertical="center"/>
      <protection/>
    </xf>
    <xf numFmtId="0" fontId="20" fillId="0" borderId="23" xfId="19" applyFont="1" applyBorder="1" applyAlignment="1" applyProtection="1">
      <alignment vertical="center"/>
      <protection/>
    </xf>
    <xf numFmtId="0" fontId="27" fillId="0" borderId="0" xfId="19" applyFont="1" applyAlignment="1" applyProtection="1">
      <alignment vertical="center"/>
      <protection/>
    </xf>
    <xf numFmtId="0" fontId="27" fillId="0" borderId="24" xfId="19" applyFont="1" applyBorder="1" applyAlignment="1" applyProtection="1">
      <alignment vertical="center"/>
      <protection/>
    </xf>
    <xf numFmtId="0" fontId="27" fillId="0" borderId="10" xfId="19" applyFont="1" applyBorder="1" applyAlignment="1" applyProtection="1">
      <alignment vertical="center"/>
      <protection/>
    </xf>
    <xf numFmtId="0" fontId="27" fillId="0" borderId="28" xfId="19" applyFont="1" applyBorder="1" applyAlignment="1" applyProtection="1">
      <alignment vertical="center"/>
      <protection/>
    </xf>
    <xf numFmtId="3" fontId="20" fillId="3" borderId="15" xfId="19" applyNumberFormat="1" applyFont="1" applyFill="1" applyBorder="1" applyAlignment="1" applyProtection="1">
      <alignment vertical="center"/>
      <protection locked="0"/>
    </xf>
    <xf numFmtId="3" fontId="20" fillId="3" borderId="4" xfId="19" applyNumberFormat="1" applyFont="1" applyFill="1" applyBorder="1" applyAlignment="1" applyProtection="1">
      <alignment vertical="center"/>
      <protection locked="0"/>
    </xf>
    <xf numFmtId="0" fontId="22" fillId="0" borderId="9" xfId="19" applyFont="1" applyFill="1" applyBorder="1" applyAlignment="1" applyProtection="1">
      <alignment vertical="center"/>
      <protection/>
    </xf>
    <xf numFmtId="0" fontId="20" fillId="0" borderId="9" xfId="19" applyFont="1" applyFill="1" applyBorder="1" applyAlignment="1" applyProtection="1">
      <alignment vertical="center"/>
      <protection/>
    </xf>
    <xf numFmtId="219" fontId="20" fillId="3" borderId="26" xfId="19" applyNumberFormat="1" applyFont="1" applyFill="1" applyBorder="1" applyAlignment="1" applyProtection="1">
      <alignment horizontal="center" vertical="center"/>
      <protection locked="0"/>
    </xf>
    <xf numFmtId="3" fontId="29" fillId="0" borderId="9" xfId="19" applyNumberFormat="1" applyFont="1" applyFill="1" applyBorder="1" applyAlignment="1" applyProtection="1">
      <alignment vertical="center"/>
      <protection/>
    </xf>
    <xf numFmtId="0" fontId="27" fillId="0" borderId="9" xfId="19" applyFont="1" applyFill="1" applyBorder="1" applyAlignment="1" applyProtection="1">
      <alignment horizontal="right" vertical="center"/>
      <protection/>
    </xf>
    <xf numFmtId="172" fontId="20" fillId="2" borderId="26" xfId="19" applyNumberFormat="1" applyFont="1" applyFill="1" applyBorder="1" applyAlignment="1" applyProtection="1">
      <alignment horizontal="center" vertical="center"/>
      <protection/>
    </xf>
    <xf numFmtId="3" fontId="27" fillId="0" borderId="29" xfId="19" applyNumberFormat="1" applyFont="1" applyFill="1" applyBorder="1" applyAlignment="1" applyProtection="1">
      <alignment vertical="center"/>
      <protection/>
    </xf>
    <xf numFmtId="0" fontId="20" fillId="0" borderId="18" xfId="19" applyFont="1" applyFill="1" applyBorder="1" applyAlignment="1" applyProtection="1">
      <alignment vertical="center"/>
      <protection/>
    </xf>
    <xf numFmtId="0" fontId="29" fillId="0" borderId="18" xfId="19" applyFont="1" applyFill="1" applyBorder="1" applyAlignment="1" applyProtection="1">
      <alignment horizontal="right" vertical="center"/>
      <protection/>
    </xf>
    <xf numFmtId="3" fontId="27" fillId="0" borderId="30" xfId="19" applyNumberFormat="1" applyFont="1" applyFill="1" applyBorder="1" applyAlignment="1" applyProtection="1">
      <alignment vertical="center"/>
      <protection/>
    </xf>
    <xf numFmtId="0" fontId="27" fillId="2" borderId="1" xfId="19" applyFont="1" applyFill="1" applyBorder="1" applyAlignment="1" applyProtection="1">
      <alignment vertical="center"/>
      <protection/>
    </xf>
    <xf numFmtId="0" fontId="32" fillId="2" borderId="1" xfId="19" applyFont="1" applyFill="1" applyBorder="1" applyAlignment="1" applyProtection="1">
      <alignment vertical="center"/>
      <protection/>
    </xf>
    <xf numFmtId="3" fontId="23" fillId="0" borderId="21" xfId="19" applyNumberFormat="1" applyFont="1" applyBorder="1" applyAlignment="1" applyProtection="1">
      <alignment horizontal="centerContinuous" vertical="center"/>
      <protection/>
    </xf>
    <xf numFmtId="3" fontId="23" fillId="0" borderId="31" xfId="19" applyNumberFormat="1" applyFont="1" applyBorder="1" applyAlignment="1" applyProtection="1">
      <alignment horizontal="centerContinuous" vertical="center"/>
      <protection/>
    </xf>
    <xf numFmtId="0" fontId="33" fillId="2" borderId="32" xfId="19" applyFont="1" applyFill="1" applyBorder="1" applyAlignment="1" applyProtection="1">
      <alignment vertical="center"/>
      <protection/>
    </xf>
    <xf numFmtId="0" fontId="20" fillId="0" borderId="32" xfId="19" applyFont="1" applyBorder="1" applyAlignment="1" applyProtection="1">
      <alignment vertical="center"/>
      <protection/>
    </xf>
    <xf numFmtId="0" fontId="27" fillId="2" borderId="32" xfId="19" applyFont="1" applyFill="1" applyBorder="1" applyAlignment="1" applyProtection="1">
      <alignment vertical="center"/>
      <protection/>
    </xf>
    <xf numFmtId="0" fontId="29" fillId="2" borderId="32" xfId="19" applyFont="1" applyFill="1" applyBorder="1" applyAlignment="1" applyProtection="1">
      <alignment vertical="center"/>
      <protection/>
    </xf>
    <xf numFmtId="0" fontId="27" fillId="2" borderId="32" xfId="19" applyFont="1" applyFill="1" applyBorder="1" applyAlignment="1" applyProtection="1">
      <alignment vertical="center" wrapText="1"/>
      <protection/>
    </xf>
    <xf numFmtId="0" fontId="20" fillId="0" borderId="32" xfId="19" applyFont="1" applyBorder="1" applyAlignment="1" applyProtection="1">
      <alignment vertical="center" wrapText="1"/>
      <protection/>
    </xf>
    <xf numFmtId="0" fontId="27" fillId="0" borderId="33" xfId="19" applyFont="1" applyBorder="1" applyAlignment="1" applyProtection="1">
      <alignment horizontal="right" vertical="center"/>
      <protection/>
    </xf>
    <xf numFmtId="0" fontId="17" fillId="0" borderId="0" xfId="20" applyAlignment="1" applyProtection="1">
      <alignment horizontal="center"/>
      <protection/>
    </xf>
    <xf numFmtId="0" fontId="29" fillId="0" borderId="0" xfId="19" applyFont="1" applyAlignment="1" applyProtection="1">
      <alignment vertical="center"/>
      <protection/>
    </xf>
    <xf numFmtId="0" fontId="5" fillId="0" borderId="1" xfId="20" applyFont="1" applyBorder="1" applyAlignment="1" applyProtection="1">
      <alignment vertical="center"/>
      <protection/>
    </xf>
    <xf numFmtId="0" fontId="0" fillId="0" borderId="1" xfId="20" applyFont="1" applyBorder="1" applyAlignment="1" applyProtection="1">
      <alignment vertical="center"/>
      <protection/>
    </xf>
    <xf numFmtId="0" fontId="31" fillId="0" borderId="1" xfId="19" applyFont="1" applyBorder="1" applyAlignment="1" applyProtection="1">
      <alignment vertical="center"/>
      <protection/>
    </xf>
    <xf numFmtId="0" fontId="28" fillId="0" borderId="1" xfId="19" applyFont="1" applyBorder="1" applyAlignment="1" applyProtection="1">
      <alignment vertical="center"/>
      <protection/>
    </xf>
    <xf numFmtId="0" fontId="28" fillId="0" borderId="1" xfId="19" applyFont="1" applyBorder="1" applyAlignment="1" applyProtection="1">
      <alignment horizontal="right" vertical="center"/>
      <protection/>
    </xf>
    <xf numFmtId="0" fontId="31" fillId="0" borderId="0" xfId="19" applyFont="1" applyAlignment="1" applyProtection="1">
      <alignment vertical="center"/>
      <protection/>
    </xf>
    <xf numFmtId="0" fontId="35" fillId="0" borderId="0" xfId="19" applyFont="1" applyAlignment="1" applyProtection="1">
      <alignment horizontal="center" vertical="center"/>
      <protection/>
    </xf>
    <xf numFmtId="0" fontId="17" fillId="0" borderId="0" xfId="20" applyFont="1" applyAlignment="1" applyProtection="1">
      <alignment vertical="center"/>
      <protection/>
    </xf>
    <xf numFmtId="0" fontId="25" fillId="2" borderId="2" xfId="19" applyFont="1" applyFill="1" applyBorder="1" applyAlignment="1" applyProtection="1">
      <alignment horizontal="centerContinuous" vertical="center"/>
      <protection/>
    </xf>
    <xf numFmtId="172" fontId="25" fillId="2" borderId="2" xfId="19" applyNumberFormat="1" applyFont="1" applyFill="1" applyBorder="1" applyAlignment="1" applyProtection="1">
      <alignment horizontal="center" vertical="center"/>
      <protection/>
    </xf>
    <xf numFmtId="0" fontId="23" fillId="0" borderId="34" xfId="19" applyFont="1" applyBorder="1" applyAlignment="1" applyProtection="1">
      <alignment vertical="center"/>
      <protection/>
    </xf>
    <xf numFmtId="0" fontId="17" fillId="0" borderId="1" xfId="20" applyFont="1" applyBorder="1" applyAlignment="1" applyProtection="1">
      <alignment vertical="center"/>
      <protection/>
    </xf>
    <xf numFmtId="0" fontId="17" fillId="0" borderId="1" xfId="20" applyBorder="1" applyProtection="1">
      <alignment/>
      <protection/>
    </xf>
    <xf numFmtId="0" fontId="0" fillId="0" borderId="5" xfId="20" applyFont="1" applyBorder="1" applyAlignment="1" applyProtection="1">
      <alignment horizontal="center" vertical="center"/>
      <protection/>
    </xf>
    <xf numFmtId="0" fontId="17" fillId="0" borderId="0" xfId="20" applyBorder="1" applyProtection="1">
      <alignment/>
      <protection/>
    </xf>
    <xf numFmtId="0" fontId="25" fillId="0" borderId="35" xfId="19" applyFont="1" applyFill="1" applyBorder="1" applyAlignment="1" applyProtection="1">
      <alignment horizontal="centerContinuous" vertical="center"/>
      <protection/>
    </xf>
    <xf numFmtId="0" fontId="20" fillId="0" borderId="1" xfId="19" applyFont="1" applyBorder="1" applyAlignment="1" applyProtection="1">
      <alignment horizontal="centerContinuous" vertical="center"/>
      <protection/>
    </xf>
    <xf numFmtId="0" fontId="17" fillId="0" borderId="5" xfId="20" applyBorder="1" applyAlignment="1" applyProtection="1">
      <alignment horizontal="centerContinuous"/>
      <protection/>
    </xf>
    <xf numFmtId="0" fontId="20" fillId="0" borderId="16" xfId="19" applyFont="1" applyBorder="1" applyAlignment="1" applyProtection="1">
      <alignment vertical="center"/>
      <protection/>
    </xf>
    <xf numFmtId="0" fontId="17" fillId="0" borderId="9" xfId="20" applyFont="1" applyBorder="1" applyAlignment="1" applyProtection="1">
      <alignment vertical="center"/>
      <protection/>
    </xf>
    <xf numFmtId="0" fontId="17" fillId="0" borderId="9" xfId="20" applyBorder="1" applyProtection="1">
      <alignment/>
      <protection/>
    </xf>
    <xf numFmtId="0" fontId="17" fillId="0" borderId="29" xfId="20" applyBorder="1" applyAlignment="1" applyProtection="1">
      <alignment horizontal="center"/>
      <protection/>
    </xf>
    <xf numFmtId="0" fontId="20" fillId="0" borderId="9" xfId="19" applyFont="1" applyBorder="1" applyAlignment="1" applyProtection="1">
      <alignment horizontal="centerContinuous" vertical="center"/>
      <protection/>
    </xf>
    <xf numFmtId="0" fontId="17" fillId="0" borderId="29" xfId="20" applyBorder="1" applyAlignment="1" applyProtection="1">
      <alignment horizontal="centerContinuous"/>
      <protection/>
    </xf>
    <xf numFmtId="0" fontId="0" fillId="0" borderId="9" xfId="20" applyFont="1" applyBorder="1" applyAlignment="1" applyProtection="1">
      <alignment vertical="center"/>
      <protection/>
    </xf>
    <xf numFmtId="0" fontId="20" fillId="2" borderId="9" xfId="19" applyFont="1" applyFill="1" applyBorder="1" applyAlignment="1" applyProtection="1">
      <alignment horizontal="centerContinuous" vertical="center"/>
      <protection/>
    </xf>
    <xf numFmtId="0" fontId="17" fillId="2" borderId="29" xfId="20" applyFill="1" applyBorder="1" applyAlignment="1" applyProtection="1">
      <alignment horizontal="centerContinuous"/>
      <protection/>
    </xf>
    <xf numFmtId="0" fontId="20" fillId="0" borderId="19" xfId="19" applyFont="1" applyBorder="1" applyAlignment="1" applyProtection="1">
      <alignment vertical="center"/>
      <protection/>
    </xf>
    <xf numFmtId="0" fontId="0" fillId="0" borderId="18" xfId="20" applyFont="1" applyBorder="1" applyAlignment="1" applyProtection="1">
      <alignment vertical="center"/>
      <protection/>
    </xf>
    <xf numFmtId="0" fontId="17" fillId="0" borderId="18" xfId="20" applyBorder="1" applyProtection="1">
      <alignment/>
      <protection/>
    </xf>
    <xf numFmtId="0" fontId="20" fillId="0" borderId="18" xfId="19" applyFont="1" applyBorder="1" applyAlignment="1" applyProtection="1">
      <alignment horizontal="right" vertical="center"/>
      <protection/>
    </xf>
    <xf numFmtId="0" fontId="17" fillId="2" borderId="18" xfId="20" applyFill="1" applyBorder="1" applyAlignment="1" applyProtection="1">
      <alignment horizontal="center" vertical="center"/>
      <protection/>
    </xf>
    <xf numFmtId="0" fontId="20" fillId="2" borderId="18" xfId="19" applyFont="1" applyFill="1" applyBorder="1" applyAlignment="1" applyProtection="1">
      <alignment horizontal="right" vertical="center"/>
      <protection/>
    </xf>
    <xf numFmtId="0" fontId="20" fillId="0" borderId="18" xfId="19" applyFont="1" applyBorder="1" applyAlignment="1" applyProtection="1">
      <alignment horizontal="centerContinuous" vertical="center"/>
      <protection/>
    </xf>
    <xf numFmtId="0" fontId="17" fillId="0" borderId="30" xfId="20" applyBorder="1" applyAlignment="1" applyProtection="1">
      <alignment horizontal="centerContinuous"/>
      <protection/>
    </xf>
    <xf numFmtId="0" fontId="0" fillId="0" borderId="0" xfId="20" applyFont="1" applyAlignment="1" applyProtection="1">
      <alignment vertical="center"/>
      <protection/>
    </xf>
    <xf numFmtId="0" fontId="0" fillId="0" borderId="16" xfId="20" applyFont="1" applyBorder="1" applyAlignment="1" applyProtection="1">
      <alignment vertical="center"/>
      <protection/>
    </xf>
    <xf numFmtId="0" fontId="0" fillId="0" borderId="36" xfId="20" applyFont="1" applyBorder="1" applyAlignment="1" applyProtection="1">
      <alignment vertical="center"/>
      <protection/>
    </xf>
    <xf numFmtId="0" fontId="20" fillId="0" borderId="26" xfId="19" applyFont="1" applyBorder="1" applyAlignment="1" applyProtection="1">
      <alignment horizontal="right" vertical="center"/>
      <protection/>
    </xf>
    <xf numFmtId="0" fontId="20" fillId="3" borderId="26" xfId="19" applyFont="1" applyFill="1" applyBorder="1" applyAlignment="1" applyProtection="1">
      <alignment horizontal="right" vertical="center"/>
      <protection locked="0"/>
    </xf>
    <xf numFmtId="0" fontId="20" fillId="3" borderId="36" xfId="19" applyFont="1" applyFill="1" applyBorder="1" applyAlignment="1" applyProtection="1">
      <alignment horizontal="right" vertical="center"/>
      <protection locked="0"/>
    </xf>
    <xf numFmtId="0" fontId="17" fillId="0" borderId="16" xfId="20" applyBorder="1" applyAlignment="1" applyProtection="1">
      <alignment horizontal="right" vertical="center"/>
      <protection/>
    </xf>
    <xf numFmtId="217" fontId="0" fillId="2" borderId="29" xfId="20" applyNumberFormat="1" applyFont="1" applyFill="1" applyBorder="1" applyAlignment="1" applyProtection="1">
      <alignment horizontal="right" vertical="center"/>
      <protection/>
    </xf>
    <xf numFmtId="2" fontId="20" fillId="0" borderId="9" xfId="19" applyNumberFormat="1" applyFont="1" applyBorder="1" applyAlignment="1" applyProtection="1">
      <alignment vertical="center"/>
      <protection/>
    </xf>
    <xf numFmtId="2" fontId="20" fillId="3" borderId="26" xfId="19" applyNumberFormat="1" applyFont="1" applyFill="1" applyBorder="1" applyAlignment="1" applyProtection="1">
      <alignment vertical="center"/>
      <protection locked="0"/>
    </xf>
    <xf numFmtId="2" fontId="20" fillId="3" borderId="36" xfId="19" applyNumberFormat="1" applyFont="1" applyFill="1" applyBorder="1" applyAlignment="1" applyProtection="1">
      <alignment vertical="center"/>
      <protection locked="0"/>
    </xf>
    <xf numFmtId="2" fontId="20" fillId="3" borderId="29" xfId="19" applyNumberFormat="1" applyFont="1" applyFill="1" applyBorder="1" applyAlignment="1" applyProtection="1">
      <alignment horizontal="right" vertical="center"/>
      <protection locked="0"/>
    </xf>
    <xf numFmtId="0" fontId="20" fillId="0" borderId="36" xfId="19" applyFont="1" applyBorder="1" applyAlignment="1" applyProtection="1">
      <alignment horizontal="right" vertical="center"/>
      <protection/>
    </xf>
    <xf numFmtId="2" fontId="20" fillId="2" borderId="9" xfId="19" applyNumberFormat="1" applyFont="1" applyFill="1" applyBorder="1" applyAlignment="1" applyProtection="1">
      <alignment vertical="center"/>
      <protection/>
    </xf>
    <xf numFmtId="2" fontId="20" fillId="2" borderId="29" xfId="19" applyNumberFormat="1" applyFont="1" applyFill="1" applyBorder="1" applyAlignment="1" applyProtection="1">
      <alignment horizontal="right" vertical="center"/>
      <protection/>
    </xf>
    <xf numFmtId="0" fontId="20" fillId="0" borderId="37" xfId="19" applyFont="1" applyBorder="1" applyAlignment="1" applyProtection="1">
      <alignment horizontal="right" vertical="center"/>
      <protection/>
    </xf>
    <xf numFmtId="2" fontId="20" fillId="2" borderId="18" xfId="19" applyNumberFormat="1" applyFont="1" applyFill="1" applyBorder="1" applyAlignment="1" applyProtection="1">
      <alignment vertical="center"/>
      <protection/>
    </xf>
    <xf numFmtId="2" fontId="20" fillId="2" borderId="19" xfId="19" applyNumberFormat="1" applyFont="1" applyFill="1" applyBorder="1" applyAlignment="1" applyProtection="1">
      <alignment vertical="center"/>
      <protection/>
    </xf>
    <xf numFmtId="2" fontId="20" fillId="2" borderId="30" xfId="19" applyNumberFormat="1" applyFont="1" applyFill="1" applyBorder="1" applyAlignment="1" applyProtection="1">
      <alignment vertical="center"/>
      <protection/>
    </xf>
    <xf numFmtId="0" fontId="1" fillId="0" borderId="18" xfId="20" applyFont="1" applyBorder="1" applyAlignment="1" applyProtection="1">
      <alignment vertical="center"/>
      <protection/>
    </xf>
    <xf numFmtId="0" fontId="22" fillId="0" borderId="18" xfId="19" applyFont="1" applyBorder="1" applyAlignment="1" applyProtection="1">
      <alignment horizontal="right" vertical="center"/>
      <protection/>
    </xf>
    <xf numFmtId="2" fontId="25" fillId="2" borderId="18" xfId="19" applyNumberFormat="1" applyFont="1" applyFill="1" applyBorder="1" applyAlignment="1" applyProtection="1">
      <alignment vertical="center"/>
      <protection/>
    </xf>
    <xf numFmtId="2" fontId="25" fillId="2" borderId="19" xfId="19" applyNumberFormat="1" applyFont="1" applyFill="1" applyBorder="1" applyAlignment="1" applyProtection="1">
      <alignment vertical="center"/>
      <protection/>
    </xf>
    <xf numFmtId="2" fontId="25" fillId="2" borderId="30" xfId="19" applyNumberFormat="1" applyFont="1" applyFill="1" applyBorder="1" applyAlignment="1" applyProtection="1">
      <alignment vertical="center"/>
      <protection/>
    </xf>
    <xf numFmtId="2" fontId="20" fillId="0" borderId="0" xfId="19" applyNumberFormat="1" applyFont="1" applyAlignment="1" applyProtection="1">
      <alignment vertical="center"/>
      <protection/>
    </xf>
    <xf numFmtId="0" fontId="0" fillId="0" borderId="6" xfId="20" applyFont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horizontal="right" vertical="center"/>
      <protection/>
    </xf>
    <xf numFmtId="2" fontId="20" fillId="2" borderId="38" xfId="19" applyNumberFormat="1" applyFont="1" applyFill="1" applyBorder="1" applyAlignment="1" applyProtection="1">
      <alignment vertical="center"/>
      <protection/>
    </xf>
    <xf numFmtId="2" fontId="22" fillId="2" borderId="0" xfId="19" applyNumberFormat="1" applyFont="1" applyFill="1" applyBorder="1" applyAlignment="1" applyProtection="1">
      <alignment vertical="center"/>
      <protection/>
    </xf>
    <xf numFmtId="0" fontId="7" fillId="0" borderId="0" xfId="20" applyFont="1" applyAlignment="1" applyProtection="1">
      <alignment vertical="top"/>
      <protection/>
    </xf>
    <xf numFmtId="0" fontId="22" fillId="0" borderId="34" xfId="19" applyFont="1" applyBorder="1" applyAlignment="1" applyProtection="1">
      <alignment vertical="center"/>
      <protection/>
    </xf>
    <xf numFmtId="0" fontId="20" fillId="0" borderId="3" xfId="19" applyFont="1" applyBorder="1" applyAlignment="1" applyProtection="1">
      <alignment horizontal="center" vertical="center"/>
      <protection/>
    </xf>
    <xf numFmtId="0" fontId="20" fillId="0" borderId="5" xfId="19" applyFont="1" applyBorder="1" applyAlignment="1" applyProtection="1">
      <alignment vertical="center"/>
      <protection/>
    </xf>
    <xf numFmtId="0" fontId="20" fillId="3" borderId="26" xfId="19" applyFont="1" applyFill="1" applyBorder="1" applyAlignment="1" applyProtection="1">
      <alignment horizontal="center" vertical="center"/>
      <protection locked="0"/>
    </xf>
    <xf numFmtId="0" fontId="20" fillId="2" borderId="26" xfId="19" applyFont="1" applyFill="1" applyBorder="1" applyAlignment="1" applyProtection="1">
      <alignment horizontal="center" vertical="center"/>
      <protection/>
    </xf>
    <xf numFmtId="0" fontId="20" fillId="3" borderId="37" xfId="19" applyFont="1" applyFill="1" applyBorder="1" applyAlignment="1" applyProtection="1">
      <alignment horizontal="center" vertical="center"/>
      <protection locked="0"/>
    </xf>
    <xf numFmtId="0" fontId="29" fillId="0" borderId="0" xfId="19" applyFont="1" applyAlignment="1" applyProtection="1">
      <alignment vertical="center"/>
      <protection/>
    </xf>
    <xf numFmtId="0" fontId="32" fillId="0" borderId="0" xfId="19" applyFont="1" applyAlignment="1" applyProtection="1">
      <alignment vertical="center"/>
      <protection/>
    </xf>
    <xf numFmtId="0" fontId="0" fillId="0" borderId="7" xfId="0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 locked="0"/>
    </xf>
    <xf numFmtId="3" fontId="0" fillId="3" borderId="14" xfId="0" applyNumberFormat="1" applyFont="1" applyFill="1" applyBorder="1" applyAlignment="1" applyProtection="1">
      <alignment vertical="center"/>
      <protection locked="0"/>
    </xf>
    <xf numFmtId="3" fontId="0" fillId="0" borderId="27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3" borderId="26" xfId="0" applyFont="1" applyFill="1" applyBorder="1" applyAlignment="1" applyProtection="1">
      <alignment vertical="center"/>
      <protection locked="0"/>
    </xf>
    <xf numFmtId="3" fontId="0" fillId="3" borderId="26" xfId="0" applyNumberFormat="1" applyFont="1" applyFill="1" applyBorder="1" applyAlignment="1" applyProtection="1">
      <alignment vertical="center"/>
      <protection locked="0"/>
    </xf>
    <xf numFmtId="3" fontId="0" fillId="3" borderId="22" xfId="0" applyNumberFormat="1" applyFont="1" applyFill="1" applyBorder="1" applyAlignment="1" applyProtection="1">
      <alignment vertical="center"/>
      <protection locked="0"/>
    </xf>
    <xf numFmtId="0" fontId="0" fillId="3" borderId="9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0" fillId="2" borderId="0" xfId="0" applyNumberFormat="1" applyFont="1" applyFill="1" applyBorder="1" applyAlignment="1" applyProtection="1">
      <alignment vertical="center"/>
      <protection/>
    </xf>
    <xf numFmtId="0" fontId="0" fillId="2" borderId="1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0" fillId="2" borderId="36" xfId="19" applyFont="1" applyFill="1" applyBorder="1" applyAlignment="1" applyProtection="1">
      <alignment vertical="center"/>
      <protection/>
    </xf>
    <xf numFmtId="0" fontId="20" fillId="2" borderId="10" xfId="19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3" fontId="4" fillId="0" borderId="2" xfId="0" applyNumberFormat="1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3" fontId="1" fillId="0" borderId="5" xfId="0" applyNumberFormat="1" applyFont="1" applyBorder="1" applyAlignment="1" applyProtection="1">
      <alignment horizontal="right" vertical="center"/>
      <protection/>
    </xf>
    <xf numFmtId="3" fontId="4" fillId="0" borderId="2" xfId="0" applyNumberFormat="1" applyFont="1" applyBorder="1" applyAlignment="1" applyProtection="1">
      <alignment horizontal="center" vertical="center"/>
      <protection/>
    </xf>
    <xf numFmtId="3" fontId="4" fillId="0" borderId="2" xfId="0" applyNumberFormat="1" applyFont="1" applyBorder="1" applyAlignment="1" applyProtection="1">
      <alignment horizontal="centerContinuous" vertical="center"/>
      <protection/>
    </xf>
    <xf numFmtId="0" fontId="4" fillId="0" borderId="7" xfId="0" applyFont="1" applyBorder="1" applyAlignment="1" applyProtection="1">
      <alignment vertical="center"/>
      <protection/>
    </xf>
    <xf numFmtId="3" fontId="1" fillId="0" borderId="30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Continuous" vertical="center"/>
      <protection/>
    </xf>
    <xf numFmtId="3" fontId="0" fillId="2" borderId="0" xfId="0" applyNumberFormat="1" applyFont="1" applyFill="1" applyBorder="1" applyAlignment="1" applyProtection="1">
      <alignment horizontal="centerContinuous" vertical="center"/>
      <protection/>
    </xf>
    <xf numFmtId="3" fontId="9" fillId="2" borderId="0" xfId="0" applyNumberFormat="1" applyFont="1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Continuous"/>
      <protection/>
    </xf>
    <xf numFmtId="3" fontId="1" fillId="0" borderId="5" xfId="0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3" borderId="22" xfId="0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/>
    </xf>
    <xf numFmtId="3" fontId="1" fillId="0" borderId="40" xfId="0" applyNumberFormat="1" applyFont="1" applyFill="1" applyBorder="1" applyAlignment="1" applyProtection="1">
      <alignment vertical="center"/>
      <protection/>
    </xf>
    <xf numFmtId="0" fontId="17" fillId="0" borderId="32" xfId="20" applyBorder="1" applyProtection="1">
      <alignment/>
      <protection/>
    </xf>
    <xf numFmtId="172" fontId="34" fillId="0" borderId="1" xfId="20" applyNumberFormat="1" applyFont="1" applyBorder="1" applyAlignment="1" applyProtection="1">
      <alignment horizontal="centerContinuous" vertical="center"/>
      <protection/>
    </xf>
    <xf numFmtId="0" fontId="34" fillId="0" borderId="5" xfId="20" applyFont="1" applyBorder="1" applyAlignment="1" applyProtection="1">
      <alignment horizontal="centerContinuous" vertical="center"/>
      <protection/>
    </xf>
    <xf numFmtId="0" fontId="6" fillId="0" borderId="6" xfId="0" applyFont="1" applyBorder="1" applyAlignment="1" applyProtection="1">
      <alignment horizontal="centerContinuous" vertical="center"/>
      <protection/>
    </xf>
    <xf numFmtId="2" fontId="0" fillId="0" borderId="9" xfId="0" applyNumberFormat="1" applyFont="1" applyBorder="1" applyAlignment="1" applyProtection="1">
      <alignment vertical="center"/>
      <protection/>
    </xf>
    <xf numFmtId="2" fontId="0" fillId="3" borderId="9" xfId="0" applyNumberFormat="1" applyFont="1" applyFill="1" applyBorder="1" applyAlignment="1" applyProtection="1">
      <alignment vertical="center"/>
      <protection locked="0"/>
    </xf>
    <xf numFmtId="2" fontId="0" fillId="3" borderId="18" xfId="0" applyNumberFormat="1" applyFont="1" applyFill="1" applyBorder="1" applyAlignment="1" applyProtection="1">
      <alignment vertical="center"/>
      <protection locked="0"/>
    </xf>
    <xf numFmtId="3" fontId="0" fillId="3" borderId="17" xfId="0" applyNumberFormat="1" applyFont="1" applyFill="1" applyBorder="1" applyAlignment="1" applyProtection="1">
      <alignment vertical="center"/>
      <protection locked="0"/>
    </xf>
    <xf numFmtId="0" fontId="0" fillId="3" borderId="18" xfId="0" applyFont="1" applyFill="1" applyBorder="1" applyAlignment="1" applyProtection="1">
      <alignment vertical="center"/>
      <protection locked="0"/>
    </xf>
    <xf numFmtId="3" fontId="0" fillId="3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5" fillId="0" borderId="2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left" vertical="center"/>
      <protection/>
    </xf>
    <xf numFmtId="0" fontId="0" fillId="0" borderId="6" xfId="0" applyFont="1" applyBorder="1" applyAlignment="1" applyProtection="1">
      <alignment horizontal="centerContinuous" vertical="center"/>
      <protection/>
    </xf>
    <xf numFmtId="0" fontId="6" fillId="0" borderId="6" xfId="0" applyFont="1" applyBorder="1" applyAlignment="1" applyProtection="1">
      <alignment horizontal="centerContinuous" vertical="center" wrapText="1"/>
      <protection/>
    </xf>
    <xf numFmtId="3" fontId="18" fillId="2" borderId="0" xfId="0" applyNumberFormat="1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Border="1" applyAlignment="1" applyProtection="1">
      <alignment horizontal="centerContinuous" vertical="center"/>
      <protection/>
    </xf>
    <xf numFmtId="3" fontId="4" fillId="0" borderId="2" xfId="0" applyNumberFormat="1" applyFont="1" applyBorder="1" applyAlignment="1" applyProtection="1">
      <alignment horizontal="centerContinuous" vertical="center"/>
      <protection/>
    </xf>
    <xf numFmtId="0" fontId="40" fillId="0" borderId="5" xfId="0" applyFont="1" applyBorder="1" applyAlignment="1" applyProtection="1">
      <alignment horizontal="centerContinuous" vertical="center"/>
      <protection/>
    </xf>
    <xf numFmtId="0" fontId="40" fillId="0" borderId="41" xfId="0" applyFont="1" applyBorder="1" applyAlignment="1" applyProtection="1">
      <alignment horizontal="centerContinuous" vertical="center"/>
      <protection/>
    </xf>
    <xf numFmtId="0" fontId="40" fillId="0" borderId="6" xfId="0" applyFont="1" applyBorder="1" applyAlignment="1" applyProtection="1">
      <alignment horizontal="centerContinuous"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176" fontId="1" fillId="0" borderId="3" xfId="0" applyNumberFormat="1" applyFont="1" applyBorder="1" applyAlignment="1" applyProtection="1">
      <alignment vertical="center"/>
      <protection/>
    </xf>
    <xf numFmtId="0" fontId="4" fillId="2" borderId="43" xfId="0" applyFont="1" applyFill="1" applyBorder="1" applyAlignment="1" applyProtection="1">
      <alignment horizontal="center" vertical="center"/>
      <protection/>
    </xf>
    <xf numFmtId="3" fontId="1" fillId="2" borderId="0" xfId="0" applyNumberFormat="1" applyFont="1" applyFill="1" applyBorder="1" applyAlignment="1" applyProtection="1">
      <alignment horizontal="centerContinuous" vertical="center"/>
      <protection/>
    </xf>
    <xf numFmtId="2" fontId="5" fillId="0" borderId="0" xfId="0" applyNumberFormat="1" applyFont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/>
    </xf>
    <xf numFmtId="0" fontId="39" fillId="0" borderId="44" xfId="0" applyFont="1" applyBorder="1" applyAlignment="1" applyProtection="1">
      <alignment vertical="center"/>
      <protection/>
    </xf>
    <xf numFmtId="0" fontId="20" fillId="2" borderId="7" xfId="19" applyFont="1" applyFill="1" applyBorder="1" applyAlignment="1" applyProtection="1">
      <alignment vertical="center"/>
      <protection/>
    </xf>
    <xf numFmtId="172" fontId="20" fillId="3" borderId="26" xfId="19" applyNumberFormat="1" applyFont="1" applyFill="1" applyBorder="1" applyAlignment="1" applyProtection="1">
      <alignment horizontal="center" vertical="center"/>
      <protection locked="0"/>
    </xf>
    <xf numFmtId="172" fontId="20" fillId="3" borderId="37" xfId="19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0" fillId="0" borderId="2" xfId="19" applyFont="1" applyBorder="1" applyAlignment="1" applyProtection="1">
      <alignment vertical="center"/>
      <protection/>
    </xf>
    <xf numFmtId="3" fontId="20" fillId="0" borderId="2" xfId="19" applyNumberFormat="1" applyFont="1" applyBorder="1" applyAlignment="1" applyProtection="1">
      <alignment vertical="center"/>
      <protection/>
    </xf>
    <xf numFmtId="172" fontId="0" fillId="2" borderId="28" xfId="0" applyNumberFormat="1" applyFont="1" applyFill="1" applyBorder="1" applyAlignment="1" applyProtection="1">
      <alignment horizontal="right" vertical="center"/>
      <protection/>
    </xf>
    <xf numFmtId="172" fontId="0" fillId="2" borderId="28" xfId="0" applyNumberFormat="1" applyFont="1" applyFill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horizontal="right" vertical="center"/>
      <protection/>
    </xf>
    <xf numFmtId="172" fontId="0" fillId="0" borderId="7" xfId="0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40" fillId="0" borderId="45" xfId="0" applyFont="1" applyBorder="1" applyAlignment="1" applyProtection="1">
      <alignment horizontal="right" vertical="center"/>
      <protection/>
    </xf>
    <xf numFmtId="0" fontId="40" fillId="0" borderId="46" xfId="0" applyFont="1" applyBorder="1" applyAlignment="1" applyProtection="1">
      <alignment horizontal="right" vertical="center"/>
      <protection/>
    </xf>
    <xf numFmtId="3" fontId="22" fillId="2" borderId="0" xfId="19" applyNumberFormat="1" applyFont="1" applyFill="1" applyBorder="1" applyAlignment="1" applyProtection="1">
      <alignment horizontal="right" vertical="center"/>
      <protection/>
    </xf>
    <xf numFmtId="3" fontId="22" fillId="2" borderId="0" xfId="19" applyNumberFormat="1" applyFont="1" applyFill="1" applyBorder="1" applyAlignment="1" applyProtection="1">
      <alignment horizontal="right" vertical="center"/>
      <protection/>
    </xf>
    <xf numFmtId="3" fontId="20" fillId="2" borderId="0" xfId="19" applyNumberFormat="1" applyFont="1" applyFill="1" applyBorder="1" applyAlignment="1" applyProtection="1">
      <alignment vertical="center"/>
      <protection/>
    </xf>
    <xf numFmtId="0" fontId="20" fillId="2" borderId="0" xfId="19" applyFont="1" applyFill="1" applyBorder="1" applyAlignment="1" applyProtection="1">
      <alignment horizontal="centerContinuous" vertical="center"/>
      <protection/>
    </xf>
    <xf numFmtId="0" fontId="20" fillId="2" borderId="18" xfId="19" applyFont="1" applyFill="1" applyBorder="1" applyAlignment="1" applyProtection="1">
      <alignment vertical="center"/>
      <protection/>
    </xf>
    <xf numFmtId="3" fontId="22" fillId="2" borderId="0" xfId="19" applyNumberFormat="1" applyFont="1" applyFill="1" applyBorder="1" applyAlignment="1" applyProtection="1">
      <alignment horizontal="centerContinuous" vertical="center"/>
      <protection/>
    </xf>
    <xf numFmtId="1" fontId="20" fillId="0" borderId="9" xfId="19" applyNumberFormat="1" applyFont="1" applyBorder="1" applyAlignment="1" applyProtection="1">
      <alignment horizontal="right" vertical="center"/>
      <protection/>
    </xf>
    <xf numFmtId="0" fontId="0" fillId="0" borderId="43" xfId="0" applyBorder="1" applyAlignment="1">
      <alignment vertical="center"/>
    </xf>
    <xf numFmtId="2" fontId="20" fillId="3" borderId="3" xfId="19" applyNumberFormat="1" applyFont="1" applyFill="1" applyBorder="1" applyAlignment="1" applyProtection="1">
      <alignment horizontal="center" vertical="center"/>
      <protection locked="0"/>
    </xf>
    <xf numFmtId="0" fontId="0" fillId="3" borderId="26" xfId="20" applyFont="1" applyFill="1" applyBorder="1" applyAlignment="1" applyProtection="1">
      <alignment horizontal="center" vertical="center"/>
      <protection locked="0"/>
    </xf>
    <xf numFmtId="0" fontId="0" fillId="3" borderId="20" xfId="2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 vertical="center"/>
    </xf>
    <xf numFmtId="3" fontId="18" fillId="0" borderId="0" xfId="0" applyNumberFormat="1" applyFont="1" applyBorder="1" applyAlignment="1" applyProtection="1">
      <alignment horizontal="centerContinuous" vertical="center"/>
      <protection/>
    </xf>
    <xf numFmtId="172" fontId="1" fillId="0" borderId="3" xfId="0" applyNumberFormat="1" applyFont="1" applyBorder="1" applyAlignment="1" applyProtection="1">
      <alignment vertical="center"/>
      <protection/>
    </xf>
    <xf numFmtId="0" fontId="0" fillId="2" borderId="0" xfId="0" applyFill="1" applyBorder="1" applyAlignment="1" applyProtection="1">
      <alignment/>
      <protection/>
    </xf>
    <xf numFmtId="3" fontId="4" fillId="0" borderId="47" xfId="0" applyNumberFormat="1" applyFont="1" applyBorder="1" applyAlignment="1" applyProtection="1">
      <alignment horizontal="center" vertical="center"/>
      <protection/>
    </xf>
    <xf numFmtId="0" fontId="20" fillId="2" borderId="30" xfId="19" applyFont="1" applyFill="1" applyBorder="1" applyAlignment="1" applyProtection="1">
      <alignment vertical="center"/>
      <protection/>
    </xf>
    <xf numFmtId="2" fontId="20" fillId="2" borderId="0" xfId="19" applyNumberFormat="1" applyFont="1" applyFill="1" applyBorder="1" applyAlignment="1" applyProtection="1">
      <alignment vertical="center"/>
      <protection/>
    </xf>
    <xf numFmtId="3" fontId="4" fillId="0" borderId="7" xfId="0" applyNumberFormat="1" applyFont="1" applyBorder="1" applyAlignment="1" applyProtection="1">
      <alignment horizontal="center" vertical="center"/>
      <protection/>
    </xf>
    <xf numFmtId="3" fontId="4" fillId="0" borderId="48" xfId="0" applyNumberFormat="1" applyFont="1" applyBorder="1" applyAlignment="1" applyProtection="1">
      <alignment horizontal="center" vertical="center"/>
      <protection/>
    </xf>
    <xf numFmtId="2" fontId="0" fillId="0" borderId="30" xfId="0" applyNumberFormat="1" applyBorder="1" applyAlignment="1">
      <alignment vertical="center"/>
    </xf>
    <xf numFmtId="0" fontId="0" fillId="2" borderId="9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20" fillId="0" borderId="2" xfId="19" applyFont="1" applyBorder="1" applyAlignment="1" applyProtection="1">
      <alignment horizontal="center" vertical="center"/>
      <protection/>
    </xf>
    <xf numFmtId="0" fontId="20" fillId="0" borderId="49" xfId="19" applyFont="1" applyBorder="1" applyAlignment="1" applyProtection="1">
      <alignment horizontal="center" vertical="center"/>
      <protection/>
    </xf>
    <xf numFmtId="0" fontId="20" fillId="0" borderId="50" xfId="19" applyFont="1" applyBorder="1" applyAlignment="1" applyProtection="1">
      <alignment horizontal="center" vertical="center"/>
      <protection/>
    </xf>
    <xf numFmtId="0" fontId="20" fillId="0" borderId="51" xfId="19" applyFont="1" applyBorder="1" applyAlignment="1" applyProtection="1">
      <alignment horizontal="center" vertical="center"/>
      <protection/>
    </xf>
    <xf numFmtId="0" fontId="20" fillId="0" borderId="47" xfId="19" applyFont="1" applyBorder="1" applyAlignment="1" applyProtection="1">
      <alignment horizontal="center" vertical="center"/>
      <protection/>
    </xf>
    <xf numFmtId="0" fontId="20" fillId="0" borderId="52" xfId="19" applyFont="1" applyBorder="1" applyAlignment="1" applyProtection="1">
      <alignment horizontal="center" vertical="center"/>
      <protection/>
    </xf>
    <xf numFmtId="0" fontId="20" fillId="0" borderId="53" xfId="19" applyFont="1" applyBorder="1" applyAlignment="1" applyProtection="1">
      <alignment horizontal="center" vertical="center"/>
      <protection/>
    </xf>
    <xf numFmtId="0" fontId="0" fillId="0" borderId="2" xfId="20" applyFont="1" applyBorder="1" applyAlignment="1" applyProtection="1">
      <alignment horizontal="center" vertical="center"/>
      <protection/>
    </xf>
    <xf numFmtId="0" fontId="20" fillId="2" borderId="11" xfId="19" applyFont="1" applyFill="1" applyBorder="1" applyAlignment="1" applyProtection="1">
      <alignment vertical="center"/>
      <protection/>
    </xf>
    <xf numFmtId="0" fontId="20" fillId="2" borderId="0" xfId="19" applyFont="1" applyFill="1" applyAlignment="1" applyProtection="1">
      <alignment vertical="center"/>
      <protection/>
    </xf>
    <xf numFmtId="0" fontId="20" fillId="2" borderId="54" xfId="19" applyFont="1" applyFill="1" applyBorder="1" applyAlignment="1" applyProtection="1">
      <alignment vertical="center"/>
      <protection/>
    </xf>
    <xf numFmtId="0" fontId="25" fillId="2" borderId="18" xfId="19" applyFont="1" applyFill="1" applyBorder="1" applyAlignment="1" applyProtection="1">
      <alignment vertical="center"/>
      <protection/>
    </xf>
    <xf numFmtId="4" fontId="20" fillId="2" borderId="44" xfId="17" applyNumberFormat="1" applyFont="1" applyFill="1" applyBorder="1" applyAlignment="1" applyProtection="1">
      <alignment vertical="center"/>
      <protection/>
    </xf>
    <xf numFmtId="4" fontId="20" fillId="2" borderId="55" xfId="17" applyNumberFormat="1" applyFont="1" applyFill="1" applyBorder="1" applyAlignment="1" applyProtection="1">
      <alignment vertical="center"/>
      <protection/>
    </xf>
    <xf numFmtId="0" fontId="25" fillId="2" borderId="0" xfId="19" applyFont="1" applyFill="1" applyBorder="1" applyAlignment="1" applyProtection="1">
      <alignment vertical="center"/>
      <protection/>
    </xf>
    <xf numFmtId="4" fontId="20" fillId="2" borderId="18" xfId="17" applyNumberFormat="1" applyFont="1" applyFill="1" applyBorder="1" applyAlignment="1" applyProtection="1">
      <alignment vertical="center"/>
      <protection/>
    </xf>
    <xf numFmtId="0" fontId="20" fillId="2" borderId="16" xfId="19" applyFont="1" applyFill="1" applyBorder="1" applyAlignment="1" applyProtection="1">
      <alignment horizontal="right" vertical="center"/>
      <protection/>
    </xf>
    <xf numFmtId="2" fontId="20" fillId="2" borderId="16" xfId="19" applyNumberFormat="1" applyFont="1" applyFill="1" applyBorder="1" applyAlignment="1" applyProtection="1">
      <alignment vertical="center"/>
      <protection/>
    </xf>
    <xf numFmtId="0" fontId="20" fillId="2" borderId="29" xfId="19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3" fontId="22" fillId="2" borderId="0" xfId="19" applyNumberFormat="1" applyFont="1" applyFill="1" applyBorder="1" applyAlignment="1" applyProtection="1">
      <alignment horizontal="center" vertical="center"/>
      <protection/>
    </xf>
    <xf numFmtId="3" fontId="22" fillId="2" borderId="0" xfId="19" applyNumberFormat="1" applyFont="1" applyFill="1" applyBorder="1" applyAlignment="1" applyProtection="1">
      <alignment horizontal="center" vertical="center"/>
      <protection/>
    </xf>
    <xf numFmtId="0" fontId="22" fillId="2" borderId="0" xfId="19" applyFont="1" applyFill="1" applyBorder="1" applyAlignment="1" applyProtection="1">
      <alignment vertical="center"/>
      <protection/>
    </xf>
    <xf numFmtId="0" fontId="20" fillId="0" borderId="56" xfId="19" applyFont="1" applyBorder="1" applyAlignment="1" applyProtection="1">
      <alignment horizontal="center" vertical="center"/>
      <protection/>
    </xf>
    <xf numFmtId="3" fontId="20" fillId="3" borderId="59" xfId="19" applyNumberFormat="1" applyFont="1" applyFill="1" applyBorder="1" applyAlignment="1" applyProtection="1">
      <alignment horizontal="centerContinuous" vertical="center"/>
      <protection locked="0"/>
    </xf>
    <xf numFmtId="3" fontId="20" fillId="2" borderId="59" xfId="19" applyNumberFormat="1" applyFont="1" applyFill="1" applyBorder="1" applyAlignment="1" applyProtection="1">
      <alignment horizontal="centerContinuous" vertical="center"/>
      <protection/>
    </xf>
    <xf numFmtId="3" fontId="20" fillId="2" borderId="60" xfId="19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3" fillId="0" borderId="0" xfId="19" applyFont="1" applyAlignment="1" applyProtection="1">
      <alignment horizontal="left" vertical="center"/>
      <protection/>
    </xf>
    <xf numFmtId="0" fontId="27" fillId="0" borderId="0" xfId="19" applyFont="1" applyAlignment="1" applyProtection="1">
      <alignment horizontal="centerContinuous" vertical="center" wrapText="1"/>
      <protection/>
    </xf>
    <xf numFmtId="0" fontId="40" fillId="0" borderId="0" xfId="0" applyFont="1" applyAlignment="1">
      <alignment horizontal="centerContinuous"/>
    </xf>
    <xf numFmtId="0" fontId="40" fillId="0" borderId="0" xfId="0" applyFont="1" applyAlignment="1">
      <alignment horizontal="center" vertical="center" wrapText="1"/>
    </xf>
    <xf numFmtId="0" fontId="26" fillId="0" borderId="0" xfId="19" applyFont="1" applyAlignment="1" applyProtection="1">
      <alignment horizontal="left" vertical="center"/>
      <protection/>
    </xf>
    <xf numFmtId="0" fontId="27" fillId="2" borderId="61" xfId="19" applyFont="1" applyFill="1" applyBorder="1" applyAlignment="1" applyProtection="1">
      <alignment horizontal="centerContinuous" vertical="center" wrapText="1"/>
      <protection/>
    </xf>
    <xf numFmtId="0" fontId="27" fillId="0" borderId="61" xfId="19" applyFont="1" applyBorder="1" applyAlignment="1" applyProtection="1">
      <alignment horizontal="centerContinuous" vertical="center" wrapText="1"/>
      <protection/>
    </xf>
    <xf numFmtId="0" fontId="27" fillId="2" borderId="22" xfId="19" applyFont="1" applyFill="1" applyBorder="1" applyAlignment="1" applyProtection="1">
      <alignment horizontal="center" vertical="center"/>
      <protection/>
    </xf>
    <xf numFmtId="0" fontId="27" fillId="2" borderId="0" xfId="19" applyFont="1" applyFill="1" applyBorder="1" applyAlignment="1" applyProtection="1">
      <alignment horizontal="centerContinuous" vertical="center" wrapText="1"/>
      <protection/>
    </xf>
    <xf numFmtId="0" fontId="27" fillId="0" borderId="25" xfId="19" applyFont="1" applyBorder="1" applyAlignment="1" applyProtection="1">
      <alignment horizontal="centerContinuous" vertical="center" wrapText="1"/>
      <protection/>
    </xf>
    <xf numFmtId="0" fontId="27" fillId="2" borderId="16" xfId="19" applyFont="1" applyFill="1" applyBorder="1" applyAlignment="1" applyProtection="1">
      <alignment horizontal="center" vertical="center" wrapText="1"/>
      <protection/>
    </xf>
    <xf numFmtId="0" fontId="27" fillId="0" borderId="16" xfId="19" applyFont="1" applyBorder="1" applyAlignment="1" applyProtection="1">
      <alignment horizontal="centerContinuous" vertical="center" wrapText="1"/>
      <protection/>
    </xf>
    <xf numFmtId="0" fontId="27" fillId="2" borderId="26" xfId="19" applyFont="1" applyFill="1" applyBorder="1" applyAlignment="1" applyProtection="1">
      <alignment horizontal="centerContinuous" vertical="center" wrapText="1"/>
      <protection/>
    </xf>
    <xf numFmtId="0" fontId="27" fillId="2" borderId="9" xfId="19" applyFont="1" applyFill="1" applyBorder="1" applyAlignment="1" applyProtection="1">
      <alignment horizontal="centerContinuous" vertical="center" wrapText="1"/>
      <protection/>
    </xf>
    <xf numFmtId="0" fontId="27" fillId="0" borderId="17" xfId="19" applyFont="1" applyBorder="1" applyAlignment="1" applyProtection="1">
      <alignment horizontal="centerContinuous" vertical="center" wrapText="1"/>
      <protection/>
    </xf>
    <xf numFmtId="0" fontId="27" fillId="0" borderId="23" xfId="19" applyFont="1" applyFill="1" applyBorder="1" applyAlignment="1" applyProtection="1">
      <alignment horizontal="center" vertical="center" wrapText="1"/>
      <protection/>
    </xf>
    <xf numFmtId="0" fontId="27" fillId="0" borderId="23" xfId="19" applyFont="1" applyBorder="1" applyAlignment="1" applyProtection="1">
      <alignment horizontal="centerContinuous" vertical="center"/>
      <protection/>
    </xf>
    <xf numFmtId="0" fontId="27" fillId="0" borderId="62" xfId="19" applyFont="1" applyBorder="1" applyAlignment="1" applyProtection="1">
      <alignment horizontal="centerContinuous" vertical="center"/>
      <protection/>
    </xf>
    <xf numFmtId="4" fontId="27" fillId="2" borderId="26" xfId="17" applyNumberFormat="1" applyFont="1" applyFill="1" applyBorder="1" applyAlignment="1" applyProtection="1">
      <alignment horizontal="center" vertical="center"/>
      <protection/>
    </xf>
    <xf numFmtId="4" fontId="27" fillId="2" borderId="36" xfId="17" applyNumberFormat="1" applyFont="1" applyFill="1" applyBorder="1" applyAlignment="1" applyProtection="1">
      <alignment horizontal="center" vertical="center"/>
      <protection/>
    </xf>
    <xf numFmtId="0" fontId="27" fillId="2" borderId="9" xfId="19" applyFont="1" applyFill="1" applyBorder="1" applyAlignment="1" applyProtection="1">
      <alignment horizontal="center" vertical="center"/>
      <protection/>
    </xf>
    <xf numFmtId="3" fontId="27" fillId="2" borderId="17" xfId="19" applyNumberFormat="1" applyFont="1" applyFill="1" applyBorder="1" applyAlignment="1" applyProtection="1">
      <alignment horizontal="center" vertical="center"/>
      <protection/>
    </xf>
    <xf numFmtId="0" fontId="40" fillId="0" borderId="61" xfId="0" applyFont="1" applyBorder="1" applyAlignment="1">
      <alignment horizontal="center" vertical="center"/>
    </xf>
    <xf numFmtId="0" fontId="27" fillId="2" borderId="23" xfId="19" applyFont="1" applyFill="1" applyBorder="1" applyAlignment="1" applyProtection="1">
      <alignment horizontal="center" vertical="center"/>
      <protection/>
    </xf>
    <xf numFmtId="0" fontId="27" fillId="2" borderId="38" xfId="19" applyFont="1" applyFill="1" applyBorder="1" applyAlignment="1" applyProtection="1">
      <alignment horizontal="right" vertical="center" wrapText="1"/>
      <protection/>
    </xf>
    <xf numFmtId="0" fontId="29" fillId="0" borderId="63" xfId="19" applyFont="1" applyBorder="1" applyAlignment="1" applyProtection="1">
      <alignment horizontal="centerContinuous"/>
      <protection/>
    </xf>
    <xf numFmtId="0" fontId="27" fillId="0" borderId="1" xfId="19" applyFont="1" applyBorder="1" applyAlignment="1" applyProtection="1">
      <alignment horizontal="right" vertical="center"/>
      <protection/>
    </xf>
    <xf numFmtId="0" fontId="20" fillId="3" borderId="64" xfId="19" applyFont="1" applyFill="1" applyBorder="1" applyAlignment="1" applyProtection="1">
      <alignment vertical="center"/>
      <protection locked="0"/>
    </xf>
    <xf numFmtId="0" fontId="20" fillId="3" borderId="65" xfId="19" applyFont="1" applyFill="1" applyBorder="1" applyAlignment="1" applyProtection="1">
      <alignment vertical="center"/>
      <protection locked="0"/>
    </xf>
    <xf numFmtId="0" fontId="0" fillId="0" borderId="50" xfId="0" applyFont="1" applyBorder="1" applyAlignment="1" applyProtection="1">
      <alignment horizontal="center" vertical="center"/>
      <protection/>
    </xf>
    <xf numFmtId="0" fontId="40" fillId="0" borderId="12" xfId="0" applyFont="1" applyBorder="1" applyAlignment="1" applyProtection="1">
      <alignment horizontal="center" vertical="center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0" fontId="40" fillId="0" borderId="24" xfId="0" applyFont="1" applyBorder="1" applyAlignment="1" applyProtection="1">
      <alignment horizontal="center" vertical="center"/>
      <protection/>
    </xf>
    <xf numFmtId="0" fontId="40" fillId="0" borderId="45" xfId="0" applyFont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 horizontal="centerContinuous" vertical="center" wrapText="1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centerContinuous" vertical="center"/>
      <protection/>
    </xf>
    <xf numFmtId="3" fontId="4" fillId="0" borderId="0" xfId="0" applyNumberFormat="1" applyFont="1" applyBorder="1" applyAlignment="1" applyProtection="1">
      <alignment horizontal="centerContinuous" vertical="center"/>
      <protection/>
    </xf>
    <xf numFmtId="0" fontId="0" fillId="0" borderId="66" xfId="0" applyFont="1" applyBorder="1" applyAlignment="1" applyProtection="1">
      <alignment vertical="center"/>
      <protection/>
    </xf>
    <xf numFmtId="0" fontId="0" fillId="0" borderId="67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 applyProtection="1">
      <alignment horizontal="center" vertical="center"/>
      <protection/>
    </xf>
    <xf numFmtId="0" fontId="0" fillId="0" borderId="73" xfId="0" applyBorder="1" applyAlignment="1">
      <alignment/>
    </xf>
    <xf numFmtId="0" fontId="0" fillId="0" borderId="74" xfId="0" applyFont="1" applyBorder="1" applyAlignment="1" applyProtection="1">
      <alignment horizontal="center" vertical="center"/>
      <protection/>
    </xf>
    <xf numFmtId="0" fontId="38" fillId="0" borderId="75" xfId="0" applyFont="1" applyBorder="1" applyAlignment="1" applyProtection="1">
      <alignment vertical="center"/>
      <protection/>
    </xf>
    <xf numFmtId="0" fontId="0" fillId="0" borderId="75" xfId="0" applyFont="1" applyBorder="1" applyAlignment="1" applyProtection="1">
      <alignment vertical="center"/>
      <protection/>
    </xf>
    <xf numFmtId="0" fontId="6" fillId="0" borderId="75" xfId="0" applyFont="1" applyBorder="1" applyAlignment="1" applyProtection="1">
      <alignment vertical="center"/>
      <protection/>
    </xf>
    <xf numFmtId="0" fontId="39" fillId="0" borderId="18" xfId="0" applyFont="1" applyBorder="1" applyAlignment="1" applyProtection="1">
      <alignment vertical="center"/>
      <protection/>
    </xf>
    <xf numFmtId="0" fontId="40" fillId="0" borderId="62" xfId="0" applyFont="1" applyBorder="1" applyAlignment="1" applyProtection="1">
      <alignment horizontal="centerContinuous" vertical="center"/>
      <protection/>
    </xf>
    <xf numFmtId="3" fontId="0" fillId="3" borderId="19" xfId="0" applyNumberFormat="1" applyFont="1" applyFill="1" applyBorder="1" applyAlignment="1" applyProtection="1">
      <alignment horizontal="centerContinuous" vertical="center"/>
      <protection locked="0"/>
    </xf>
    <xf numFmtId="0" fontId="0" fillId="0" borderId="18" xfId="0" applyBorder="1" applyAlignment="1">
      <alignment horizontal="centerContinuous"/>
    </xf>
    <xf numFmtId="0" fontId="0" fillId="0" borderId="6" xfId="0" applyFont="1" applyBorder="1" applyAlignment="1" applyProtection="1">
      <alignment vertical="center"/>
      <protection/>
    </xf>
    <xf numFmtId="0" fontId="40" fillId="0" borderId="38" xfId="0" applyFont="1" applyBorder="1" applyAlignment="1" applyProtection="1">
      <alignment horizontal="centerContinuous" vertical="center"/>
      <protection/>
    </xf>
    <xf numFmtId="0" fontId="0" fillId="0" borderId="6" xfId="0" applyBorder="1" applyAlignment="1">
      <alignment horizontal="centerContinuous"/>
    </xf>
    <xf numFmtId="2" fontId="0" fillId="0" borderId="12" xfId="0" applyNumberFormat="1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right" vertical="center"/>
      <protection/>
    </xf>
    <xf numFmtId="0" fontId="40" fillId="0" borderId="11" xfId="0" applyFont="1" applyBorder="1" applyAlignment="1">
      <alignment horizontal="centerContinuous" wrapText="1"/>
    </xf>
    <xf numFmtId="176" fontId="40" fillId="0" borderId="45" xfId="0" applyNumberFormat="1" applyFont="1" applyBorder="1" applyAlignment="1" applyProtection="1">
      <alignment horizontal="right" vertical="center"/>
      <protection/>
    </xf>
    <xf numFmtId="0" fontId="40" fillId="0" borderId="39" xfId="0" applyFont="1" applyBorder="1" applyAlignment="1" applyProtection="1">
      <alignment horizontal="right" vertical="center"/>
      <protection/>
    </xf>
    <xf numFmtId="0" fontId="4" fillId="0" borderId="7" xfId="0" applyFont="1" applyBorder="1" applyAlignment="1">
      <alignment vertical="center"/>
    </xf>
    <xf numFmtId="0" fontId="20" fillId="4" borderId="1" xfId="19" applyFont="1" applyFill="1" applyBorder="1" applyAlignment="1" applyProtection="1">
      <alignment vertical="center"/>
      <protection/>
    </xf>
    <xf numFmtId="0" fontId="25" fillId="4" borderId="1" xfId="19" applyFont="1" applyFill="1" applyBorder="1" applyAlignment="1" applyProtection="1">
      <alignment vertical="center"/>
      <protection/>
    </xf>
    <xf numFmtId="0" fontId="20" fillId="4" borderId="61" xfId="19" applyFont="1" applyFill="1" applyBorder="1" applyAlignment="1" applyProtection="1">
      <alignment vertical="center"/>
      <protection/>
    </xf>
    <xf numFmtId="0" fontId="20" fillId="4" borderId="19" xfId="19" applyFont="1" applyFill="1" applyBorder="1" applyAlignment="1" applyProtection="1">
      <alignment vertical="center"/>
      <protection/>
    </xf>
    <xf numFmtId="4" fontId="20" fillId="4" borderId="3" xfId="17" applyNumberFormat="1" applyFont="1" applyFill="1" applyBorder="1" applyAlignment="1" applyProtection="1">
      <alignment vertical="center"/>
      <protection/>
    </xf>
    <xf numFmtId="4" fontId="20" fillId="4" borderId="3" xfId="19" applyNumberFormat="1" applyFont="1" applyFill="1" applyBorder="1" applyAlignment="1" applyProtection="1">
      <alignment vertical="center"/>
      <protection/>
    </xf>
    <xf numFmtId="0" fontId="20" fillId="4" borderId="7" xfId="19" applyFont="1" applyFill="1" applyBorder="1" applyAlignment="1" applyProtection="1">
      <alignment vertical="center"/>
      <protection/>
    </xf>
    <xf numFmtId="0" fontId="27" fillId="4" borderId="62" xfId="19" applyFont="1" applyFill="1" applyBorder="1" applyAlignment="1" applyProtection="1">
      <alignment horizontal="right" vertical="center"/>
      <protection/>
    </xf>
    <xf numFmtId="0" fontId="20" fillId="4" borderId="0" xfId="19" applyFont="1" applyFill="1" applyAlignment="1" applyProtection="1">
      <alignment vertical="center"/>
      <protection/>
    </xf>
    <xf numFmtId="0" fontId="20" fillId="4" borderId="18" xfId="19" applyFont="1" applyFill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vertical="center"/>
      <protection/>
    </xf>
    <xf numFmtId="0" fontId="31" fillId="0" borderId="0" xfId="19" applyFont="1" applyBorder="1" applyAlignment="1" applyProtection="1">
      <alignment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28" fillId="0" borderId="0" xfId="19" applyFont="1" applyBorder="1" applyAlignment="1" applyProtection="1">
      <alignment horizontal="right" vertical="center"/>
      <protection/>
    </xf>
    <xf numFmtId="0" fontId="27" fillId="0" borderId="0" xfId="19" applyFont="1" applyBorder="1" applyAlignment="1" applyProtection="1">
      <alignment horizontal="right" vertical="center"/>
      <protection/>
    </xf>
    <xf numFmtId="2" fontId="23" fillId="0" borderId="0" xfId="19" applyNumberFormat="1" applyFont="1" applyBorder="1" applyAlignment="1" applyProtection="1">
      <alignment horizontal="centerContinuous" vertical="center"/>
      <protection/>
    </xf>
    <xf numFmtId="172" fontId="34" fillId="0" borderId="0" xfId="20" applyNumberFormat="1" applyFont="1" applyBorder="1" applyAlignment="1" applyProtection="1">
      <alignment horizontal="centerContinuous" vertical="center"/>
      <protection/>
    </xf>
    <xf numFmtId="0" fontId="34" fillId="0" borderId="0" xfId="20" applyFont="1" applyBorder="1" applyAlignment="1" applyProtection="1">
      <alignment horizontal="centerContinuous" vertical="center"/>
      <protection/>
    </xf>
    <xf numFmtId="0" fontId="0" fillId="4" borderId="18" xfId="0" applyFont="1" applyFill="1" applyBorder="1" applyAlignment="1" applyProtection="1">
      <alignment vertical="center"/>
      <protection/>
    </xf>
    <xf numFmtId="0" fontId="0" fillId="4" borderId="55" xfId="0" applyFont="1" applyFill="1" applyBorder="1" applyAlignment="1" applyProtection="1">
      <alignment vertical="center"/>
      <protection/>
    </xf>
    <xf numFmtId="0" fontId="0" fillId="4" borderId="18" xfId="0" applyFill="1" applyBorder="1" applyAlignment="1" applyProtection="1">
      <alignment/>
      <protection/>
    </xf>
    <xf numFmtId="2" fontId="4" fillId="2" borderId="76" xfId="0" applyNumberFormat="1" applyFont="1" applyFill="1" applyBorder="1" applyAlignment="1" applyProtection="1">
      <alignment horizontal="center" vertical="center"/>
      <protection/>
    </xf>
    <xf numFmtId="2" fontId="4" fillId="2" borderId="77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23" fillId="0" borderId="38" xfId="19" applyFont="1" applyBorder="1" applyAlignment="1" applyProtection="1">
      <alignment vertical="center"/>
      <protection/>
    </xf>
    <xf numFmtId="0" fontId="17" fillId="0" borderId="6" xfId="20" applyFont="1" applyBorder="1" applyAlignment="1" applyProtection="1">
      <alignment vertical="center"/>
      <protection/>
    </xf>
    <xf numFmtId="0" fontId="39" fillId="0" borderId="38" xfId="20" applyFont="1" applyBorder="1" applyAlignment="1" applyProtection="1">
      <alignment horizontal="centerContinuous" vertical="center"/>
      <protection/>
    </xf>
    <xf numFmtId="0" fontId="0" fillId="0" borderId="6" xfId="20" applyFont="1" applyBorder="1" applyAlignment="1" applyProtection="1">
      <alignment horizontal="centerContinuous" vertical="center"/>
      <protection/>
    </xf>
    <xf numFmtId="0" fontId="25" fillId="0" borderId="6" xfId="19" applyFont="1" applyFill="1" applyBorder="1" applyAlignment="1" applyProtection="1">
      <alignment horizontal="centerContinuous" vertical="center"/>
      <protection/>
    </xf>
    <xf numFmtId="0" fontId="20" fillId="0" borderId="6" xfId="19" applyFont="1" applyBorder="1" applyAlignment="1" applyProtection="1">
      <alignment horizontal="centerContinuous" vertical="center"/>
      <protection/>
    </xf>
    <xf numFmtId="0" fontId="0" fillId="0" borderId="62" xfId="20" applyFont="1" applyBorder="1" applyAlignment="1" applyProtection="1">
      <alignment horizontal="centerContinuous" vertical="center"/>
      <protection/>
    </xf>
    <xf numFmtId="0" fontId="5" fillId="4" borderId="19" xfId="20" applyFont="1" applyFill="1" applyBorder="1" applyAlignment="1" applyProtection="1">
      <alignment vertical="center"/>
      <protection/>
    </xf>
    <xf numFmtId="0" fontId="0" fillId="4" borderId="18" xfId="20" applyFont="1" applyFill="1" applyBorder="1" applyAlignment="1" applyProtection="1">
      <alignment vertical="center"/>
      <protection/>
    </xf>
    <xf numFmtId="0" fontId="27" fillId="2" borderId="37" xfId="19" applyFont="1" applyFill="1" applyBorder="1" applyAlignment="1" applyProtection="1">
      <alignment horizontal="center" vertical="center" wrapText="1"/>
      <protection/>
    </xf>
    <xf numFmtId="0" fontId="25" fillId="3" borderId="37" xfId="19" applyFont="1" applyFill="1" applyBorder="1" applyAlignment="1" applyProtection="1">
      <alignment horizontal="center" vertical="center"/>
      <protection locked="0"/>
    </xf>
    <xf numFmtId="0" fontId="25" fillId="2" borderId="19" xfId="19" applyFont="1" applyFill="1" applyBorder="1" applyAlignment="1" applyProtection="1">
      <alignment horizontal="centerContinuous" vertical="center"/>
      <protection/>
    </xf>
    <xf numFmtId="0" fontId="25" fillId="3" borderId="54" xfId="19" applyFont="1" applyFill="1" applyBorder="1" applyAlignment="1" applyProtection="1">
      <alignment horizontal="centerContinuous" vertical="center"/>
      <protection locked="0"/>
    </xf>
    <xf numFmtId="0" fontId="17" fillId="0" borderId="19" xfId="20" applyBorder="1" applyAlignment="1" applyProtection="1">
      <alignment horizontal="centerContinuous" vertical="center"/>
      <protection/>
    </xf>
    <xf numFmtId="0" fontId="17" fillId="0" borderId="30" xfId="20" applyBorder="1" applyAlignment="1" applyProtection="1">
      <alignment horizontal="centerContinuous" vertical="center"/>
      <protection/>
    </xf>
    <xf numFmtId="172" fontId="0" fillId="3" borderId="28" xfId="0" applyNumberFormat="1" applyFont="1" applyFill="1" applyBorder="1" applyAlignment="1" applyProtection="1">
      <alignment vertical="center"/>
      <protection locked="0"/>
    </xf>
    <xf numFmtId="172" fontId="0" fillId="3" borderId="36" xfId="0" applyNumberFormat="1" applyFont="1" applyFill="1" applyBorder="1" applyAlignment="1" applyProtection="1">
      <alignment vertical="center"/>
      <protection locked="0"/>
    </xf>
    <xf numFmtId="172" fontId="0" fillId="3" borderId="14" xfId="0" applyNumberFormat="1" applyFont="1" applyFill="1" applyBorder="1" applyAlignment="1" applyProtection="1">
      <alignment vertical="center"/>
      <protection locked="0"/>
    </xf>
    <xf numFmtId="172" fontId="0" fillId="3" borderId="26" xfId="0" applyNumberFormat="1" applyFont="1" applyFill="1" applyBorder="1" applyAlignment="1" applyProtection="1">
      <alignment vertical="center"/>
      <protection locked="0"/>
    </xf>
    <xf numFmtId="172" fontId="0" fillId="3" borderId="24" xfId="0" applyNumberFormat="1" applyFont="1" applyFill="1" applyBorder="1" applyAlignment="1" applyProtection="1">
      <alignment vertical="center"/>
      <protection locked="0"/>
    </xf>
    <xf numFmtId="2" fontId="20" fillId="2" borderId="0" xfId="19" applyNumberFormat="1" applyFont="1" applyFill="1" applyBorder="1" applyAlignment="1" applyProtection="1">
      <alignment horizontal="center" vertical="center"/>
      <protection/>
    </xf>
    <xf numFmtId="176" fontId="0" fillId="3" borderId="19" xfId="0" applyNumberFormat="1" applyFont="1" applyFill="1" applyBorder="1" applyAlignment="1" applyProtection="1">
      <alignment vertical="center"/>
      <protection locked="0"/>
    </xf>
    <xf numFmtId="0" fontId="5" fillId="0" borderId="67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7" fillId="0" borderId="18" xfId="0" applyFont="1" applyBorder="1" applyAlignment="1" applyProtection="1">
      <alignment vertical="center"/>
      <protection/>
    </xf>
    <xf numFmtId="3" fontId="4" fillId="0" borderId="78" xfId="0" applyNumberFormat="1" applyFont="1" applyBorder="1" applyAlignment="1" applyProtection="1">
      <alignment horizontal="centerContinuous" vertical="center"/>
      <protection/>
    </xf>
    <xf numFmtId="3" fontId="4" fillId="0" borderId="47" xfId="0" applyNumberFormat="1" applyFont="1" applyBorder="1" applyAlignment="1" applyProtection="1">
      <alignment horizontal="centerContinuous" vertical="center"/>
      <protection/>
    </xf>
    <xf numFmtId="0" fontId="0" fillId="0" borderId="79" xfId="0" applyFont="1" applyBorder="1" applyAlignment="1" applyProtection="1">
      <alignment horizontal="center" vertical="center"/>
      <protection/>
    </xf>
    <xf numFmtId="0" fontId="37" fillId="0" borderId="80" xfId="0" applyFont="1" applyBorder="1" applyAlignment="1" applyProtection="1">
      <alignment vertical="center"/>
      <protection/>
    </xf>
    <xf numFmtId="0" fontId="0" fillId="0" borderId="80" xfId="0" applyFont="1" applyBorder="1" applyAlignment="1" applyProtection="1">
      <alignment vertical="center"/>
      <protection/>
    </xf>
    <xf numFmtId="0" fontId="5" fillId="0" borderId="80" xfId="0" applyFont="1" applyBorder="1" applyAlignment="1" applyProtection="1">
      <alignment vertical="center"/>
      <protection/>
    </xf>
    <xf numFmtId="0" fontId="1" fillId="0" borderId="8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41" fillId="0" borderId="0" xfId="0" applyFont="1" applyAlignment="1" applyProtection="1">
      <alignment vertical="center"/>
      <protection/>
    </xf>
    <xf numFmtId="3" fontId="11" fillId="0" borderId="0" xfId="0" applyNumberFormat="1" applyFont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right" vertical="center"/>
      <protection/>
    </xf>
    <xf numFmtId="3" fontId="19" fillId="0" borderId="0" xfId="0" applyNumberFormat="1" applyFont="1" applyAlignment="1" applyProtection="1">
      <alignment vertical="center"/>
      <protection/>
    </xf>
    <xf numFmtId="3" fontId="19" fillId="0" borderId="0" xfId="0" applyNumberFormat="1" applyFont="1" applyAlignment="1" applyProtection="1">
      <alignment horizontal="right" vertical="center"/>
      <protection/>
    </xf>
    <xf numFmtId="3" fontId="19" fillId="0" borderId="0" xfId="0" applyNumberFormat="1" applyFont="1" applyAlignment="1" applyProtection="1">
      <alignment horizontal="left"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3" fontId="15" fillId="0" borderId="43" xfId="0" applyNumberFormat="1" applyFont="1" applyBorder="1" applyAlignment="1" applyProtection="1">
      <alignment horizontal="right" vertical="center"/>
      <protection/>
    </xf>
    <xf numFmtId="0" fontId="11" fillId="0" borderId="81" xfId="0" applyFont="1" applyBorder="1" applyAlignment="1" applyProtection="1">
      <alignment vertical="center"/>
      <protection/>
    </xf>
    <xf numFmtId="0" fontId="0" fillId="0" borderId="82" xfId="0" applyFont="1" applyBorder="1" applyAlignment="1" applyProtection="1">
      <alignment vertical="center"/>
      <protection/>
    </xf>
    <xf numFmtId="0" fontId="11" fillId="0" borderId="7" xfId="0" applyFont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/>
    </xf>
    <xf numFmtId="4" fontId="11" fillId="0" borderId="7" xfId="0" applyNumberFormat="1" applyFont="1" applyFill="1" applyBorder="1" applyAlignment="1" applyProtection="1">
      <alignment vertical="center"/>
      <protection/>
    </xf>
    <xf numFmtId="3" fontId="11" fillId="0" borderId="83" xfId="0" applyNumberFormat="1" applyFont="1" applyBorder="1" applyAlignment="1" applyProtection="1">
      <alignment horizontal="right" vertical="center"/>
      <protection/>
    </xf>
    <xf numFmtId="0" fontId="0" fillId="0" borderId="84" xfId="0" applyFont="1" applyBorder="1" applyAlignment="1" applyProtection="1">
      <alignment vertical="center"/>
      <protection/>
    </xf>
    <xf numFmtId="0" fontId="0" fillId="0" borderId="85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3" fontId="11" fillId="0" borderId="31" xfId="0" applyNumberFormat="1" applyFont="1" applyBorder="1" applyAlignment="1" applyProtection="1">
      <alignment vertical="center"/>
      <protection/>
    </xf>
    <xf numFmtId="0" fontId="15" fillId="0" borderId="86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3" fontId="15" fillId="0" borderId="60" xfId="0" applyNumberFormat="1" applyFont="1" applyBorder="1" applyAlignment="1" applyProtection="1">
      <alignment vertical="center"/>
      <protection/>
    </xf>
    <xf numFmtId="0" fontId="0" fillId="0" borderId="87" xfId="0" applyFont="1" applyBorder="1" applyAlignment="1" applyProtection="1">
      <alignment vertical="center"/>
      <protection/>
    </xf>
    <xf numFmtId="0" fontId="15" fillId="0" borderId="82" xfId="0" applyFont="1" applyBorder="1" applyAlignment="1" applyProtection="1">
      <alignment vertical="center"/>
      <protection/>
    </xf>
    <xf numFmtId="0" fontId="15" fillId="0" borderId="85" xfId="0" applyFont="1" applyBorder="1" applyAlignment="1" applyProtection="1">
      <alignment vertical="center"/>
      <protection/>
    </xf>
    <xf numFmtId="3" fontId="15" fillId="0" borderId="86" xfId="0" applyNumberFormat="1" applyFont="1" applyBorder="1" applyAlignment="1" applyProtection="1">
      <alignment vertical="center"/>
      <protection/>
    </xf>
    <xf numFmtId="3" fontId="15" fillId="0" borderId="31" xfId="0" applyNumberFormat="1" applyFont="1" applyBorder="1" applyAlignment="1" applyProtection="1">
      <alignment vertical="center"/>
      <protection/>
    </xf>
    <xf numFmtId="0" fontId="14" fillId="0" borderId="88" xfId="0" applyFont="1" applyBorder="1" applyAlignment="1" applyProtection="1">
      <alignment vertical="center"/>
      <protection/>
    </xf>
    <xf numFmtId="0" fontId="14" fillId="0" borderId="80" xfId="0" applyFont="1" applyBorder="1" applyAlignment="1" applyProtection="1">
      <alignment vertical="center"/>
      <protection/>
    </xf>
    <xf numFmtId="0" fontId="10" fillId="0" borderId="89" xfId="0" applyFont="1" applyBorder="1" applyAlignment="1" applyProtection="1">
      <alignment vertical="center"/>
      <protection/>
    </xf>
    <xf numFmtId="0" fontId="11" fillId="0" borderId="8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5" fillId="0" borderId="90" xfId="0" applyFont="1" applyBorder="1" applyAlignment="1" applyProtection="1">
      <alignment vertical="center"/>
      <protection/>
    </xf>
    <xf numFmtId="0" fontId="11" fillId="0" borderId="43" xfId="0" applyFont="1" applyBorder="1" applyAlignment="1" applyProtection="1">
      <alignment vertical="center"/>
      <protection/>
    </xf>
    <xf numFmtId="3" fontId="15" fillId="0" borderId="91" xfId="0" applyNumberFormat="1" applyFont="1" applyBorder="1" applyAlignment="1" applyProtection="1">
      <alignment vertical="center"/>
      <protection/>
    </xf>
    <xf numFmtId="0" fontId="0" fillId="0" borderId="92" xfId="0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44" fillId="0" borderId="0" xfId="19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24" fillId="0" borderId="0" xfId="19" applyFont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42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4" fillId="0" borderId="43" xfId="0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0" fillId="0" borderId="81" xfId="0" applyBorder="1" applyAlignment="1" applyProtection="1">
      <alignment vertical="center"/>
      <protection/>
    </xf>
    <xf numFmtId="0" fontId="11" fillId="0" borderId="42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4" fontId="15" fillId="0" borderId="42" xfId="0" applyNumberFormat="1" applyFont="1" applyBorder="1" applyAlignment="1" applyProtection="1">
      <alignment vertical="center"/>
      <protection/>
    </xf>
    <xf numFmtId="0" fontId="15" fillId="0" borderId="42" xfId="0" applyFont="1" applyBorder="1" applyAlignment="1" applyProtection="1">
      <alignment vertical="center"/>
      <protection/>
    </xf>
    <xf numFmtId="0" fontId="14" fillId="0" borderId="42" xfId="0" applyFont="1" applyFill="1" applyBorder="1" applyAlignment="1" applyProtection="1">
      <alignment vertical="center"/>
      <protection/>
    </xf>
    <xf numFmtId="0" fontId="10" fillId="0" borderId="42" xfId="0" applyFont="1" applyFill="1" applyBorder="1" applyAlignment="1" applyProtection="1">
      <alignment vertical="center"/>
      <protection/>
    </xf>
    <xf numFmtId="0" fontId="11" fillId="0" borderId="93" xfId="0" applyFont="1" applyBorder="1" applyAlignment="1" applyProtection="1">
      <alignment vertical="center"/>
      <protection/>
    </xf>
    <xf numFmtId="0" fontId="0" fillId="0" borderId="85" xfId="0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1" fillId="0" borderId="84" xfId="0" applyFont="1" applyBorder="1" applyAlignment="1" applyProtection="1">
      <alignment vertical="center"/>
      <protection/>
    </xf>
    <xf numFmtId="185" fontId="15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183" fontId="15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183" fontId="15" fillId="2" borderId="0" xfId="0" applyNumberFormat="1" applyFont="1" applyFill="1" applyBorder="1" applyAlignment="1" applyProtection="1">
      <alignment vertical="center"/>
      <protection/>
    </xf>
    <xf numFmtId="0" fontId="11" fillId="2" borderId="84" xfId="0" applyFont="1" applyFill="1" applyBorder="1" applyAlignment="1" applyProtection="1">
      <alignment vertical="center"/>
      <protection/>
    </xf>
    <xf numFmtId="185" fontId="15" fillId="0" borderId="0" xfId="0" applyNumberFormat="1" applyFont="1" applyBorder="1" applyAlignment="1" applyProtection="1">
      <alignment horizontal="right" vertical="center"/>
      <protection/>
    </xf>
    <xf numFmtId="0" fontId="0" fillId="0" borderId="84" xfId="0" applyBorder="1" applyAlignment="1" applyProtection="1">
      <alignment vertical="center"/>
      <protection/>
    </xf>
    <xf numFmtId="0" fontId="0" fillId="0" borderId="90" xfId="0" applyBorder="1" applyAlignment="1" applyProtection="1">
      <alignment vertical="center"/>
      <protection/>
    </xf>
    <xf numFmtId="0" fontId="0" fillId="0" borderId="92" xfId="0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2" fontId="19" fillId="0" borderId="0" xfId="0" applyNumberFormat="1" applyFont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vertical="center"/>
      <protection/>
    </xf>
    <xf numFmtId="185" fontId="15" fillId="2" borderId="0" xfId="0" applyNumberFormat="1" applyFont="1" applyFill="1" applyBorder="1" applyAlignment="1" applyProtection="1">
      <alignment vertical="center"/>
      <protection/>
    </xf>
    <xf numFmtId="0" fontId="0" fillId="0" borderId="84" xfId="0" applyBorder="1" applyAlignment="1" applyProtection="1">
      <alignment/>
      <protection/>
    </xf>
    <xf numFmtId="0" fontId="40" fillId="0" borderId="9" xfId="0" applyFont="1" applyBorder="1" applyAlignment="1">
      <alignment horizontal="right" vertical="center"/>
    </xf>
    <xf numFmtId="0" fontId="23" fillId="0" borderId="0" xfId="19" applyFont="1" applyFill="1" applyBorder="1" applyAlignment="1" applyProtection="1">
      <alignment horizontal="center" vertical="center"/>
      <protection/>
    </xf>
    <xf numFmtId="183" fontId="37" fillId="0" borderId="0" xfId="0" applyNumberFormat="1" applyFont="1" applyBorder="1" applyAlignment="1" applyProtection="1">
      <alignment vertical="center"/>
      <protection/>
    </xf>
    <xf numFmtId="3" fontId="11" fillId="0" borderId="31" xfId="0" applyNumberFormat="1" applyFont="1" applyBorder="1" applyAlignment="1" applyProtection="1">
      <alignment horizontal="right" vertical="center"/>
      <protection/>
    </xf>
    <xf numFmtId="3" fontId="15" fillId="0" borderId="60" xfId="0" applyNumberFormat="1" applyFont="1" applyBorder="1" applyAlignment="1" applyProtection="1">
      <alignment horizontal="right" vertical="center"/>
      <protection/>
    </xf>
    <xf numFmtId="3" fontId="15" fillId="0" borderId="60" xfId="0" applyNumberFormat="1" applyFont="1" applyBorder="1" applyAlignment="1" applyProtection="1">
      <alignment horizontal="right" vertical="center"/>
      <protection/>
    </xf>
    <xf numFmtId="3" fontId="15" fillId="0" borderId="91" xfId="0" applyNumberFormat="1" applyFont="1" applyBorder="1" applyAlignment="1" applyProtection="1">
      <alignment horizontal="right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18" fillId="2" borderId="0" xfId="0" applyNumberFormat="1" applyFont="1" applyFill="1" applyBorder="1" applyAlignment="1" applyProtection="1">
      <alignment vertical="center"/>
      <protection/>
    </xf>
    <xf numFmtId="3" fontId="18" fillId="0" borderId="73" xfId="0" applyNumberFormat="1" applyFont="1" applyBorder="1" applyAlignment="1" applyProtection="1">
      <alignment vertical="center"/>
      <protection/>
    </xf>
    <xf numFmtId="3" fontId="18" fillId="2" borderId="94" xfId="0" applyNumberFormat="1" applyFont="1" applyFill="1" applyBorder="1" applyAlignment="1" applyProtection="1">
      <alignment horizontal="center" vertical="center"/>
      <protection/>
    </xf>
    <xf numFmtId="3" fontId="18" fillId="2" borderId="95" xfId="0" applyNumberFormat="1" applyFont="1" applyFill="1" applyBorder="1" applyAlignment="1" applyProtection="1">
      <alignment horizontal="center" vertical="center"/>
      <protection/>
    </xf>
    <xf numFmtId="3" fontId="4" fillId="0" borderId="96" xfId="0" applyNumberFormat="1" applyFont="1" applyBorder="1" applyAlignment="1" applyProtection="1">
      <alignment horizontal="centerContinuous" vertical="center"/>
      <protection/>
    </xf>
    <xf numFmtId="3" fontId="4" fillId="0" borderId="97" xfId="0" applyNumberFormat="1" applyFont="1" applyBorder="1" applyAlignment="1" applyProtection="1">
      <alignment horizontal="centerContinuous" vertical="center"/>
      <protection/>
    </xf>
    <xf numFmtId="3" fontId="37" fillId="0" borderId="97" xfId="0" applyNumberFormat="1" applyFont="1" applyBorder="1" applyAlignment="1" applyProtection="1">
      <alignment horizontal="centerContinuous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19" fillId="0" borderId="0" xfId="0" applyNumberFormat="1" applyFont="1" applyAlignment="1" applyProtection="1">
      <alignment horizontal="right" vertical="center"/>
      <protection/>
    </xf>
    <xf numFmtId="2" fontId="11" fillId="0" borderId="84" xfId="0" applyNumberFormat="1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/>
      <protection/>
    </xf>
    <xf numFmtId="221" fontId="33" fillId="0" borderId="98" xfId="19" applyNumberFormat="1" applyFont="1" applyBorder="1" applyAlignment="1" applyProtection="1">
      <alignment horizontal="center" vertical="center"/>
      <protection/>
    </xf>
    <xf numFmtId="221" fontId="33" fillId="2" borderId="98" xfId="19" applyNumberFormat="1" applyFont="1" applyFill="1" applyBorder="1" applyAlignment="1" applyProtection="1">
      <alignment horizontal="center" vertical="center"/>
      <protection/>
    </xf>
    <xf numFmtId="221" fontId="37" fillId="0" borderId="21" xfId="0" applyNumberFormat="1" applyFont="1" applyFill="1" applyBorder="1" applyAlignment="1" applyProtection="1">
      <alignment horizontal="centerContinuous" vertical="center"/>
      <protection/>
    </xf>
    <xf numFmtId="221" fontId="37" fillId="0" borderId="99" xfId="0" applyNumberFormat="1" applyFont="1" applyFill="1" applyBorder="1" applyAlignment="1" applyProtection="1">
      <alignment horizontal="centerContinuous" vertical="center"/>
      <protection/>
    </xf>
    <xf numFmtId="221" fontId="4" fillId="0" borderId="2" xfId="0" applyNumberFormat="1" applyFont="1" applyBorder="1" applyAlignment="1" applyProtection="1">
      <alignment horizontal="center" vertical="center"/>
      <protection/>
    </xf>
    <xf numFmtId="221" fontId="4" fillId="0" borderId="76" xfId="0" applyNumberFormat="1" applyFont="1" applyBorder="1" applyAlignment="1" applyProtection="1">
      <alignment horizontal="center" vertical="center"/>
      <protection/>
    </xf>
    <xf numFmtId="221" fontId="4" fillId="2" borderId="0" xfId="0" applyNumberFormat="1" applyFont="1" applyFill="1" applyBorder="1" applyAlignment="1" applyProtection="1">
      <alignment horizontal="center" vertical="center"/>
      <protection/>
    </xf>
    <xf numFmtId="221" fontId="4" fillId="0" borderId="56" xfId="0" applyNumberFormat="1" applyFont="1" applyBorder="1" applyAlignment="1" applyProtection="1">
      <alignment horizontal="center" vertical="center"/>
      <protection/>
    </xf>
    <xf numFmtId="222" fontId="4" fillId="0" borderId="2" xfId="0" applyNumberFormat="1" applyFont="1" applyBorder="1" applyAlignment="1" applyProtection="1">
      <alignment horizontal="center" vertical="center"/>
      <protection/>
    </xf>
    <xf numFmtId="221" fontId="14" fillId="0" borderId="100" xfId="0" applyNumberFormat="1" applyFont="1" applyBorder="1" applyAlignment="1" applyProtection="1">
      <alignment vertical="center"/>
      <protection/>
    </xf>
    <xf numFmtId="221" fontId="14" fillId="0" borderId="80" xfId="0" applyNumberFormat="1" applyFont="1" applyBorder="1" applyAlignment="1" applyProtection="1">
      <alignment vertical="center"/>
      <protection/>
    </xf>
    <xf numFmtId="221" fontId="14" fillId="0" borderId="100" xfId="0" applyNumberFormat="1" applyFont="1" applyBorder="1" applyAlignment="1" applyProtection="1">
      <alignment horizontal="right" vertical="center"/>
      <protection/>
    </xf>
    <xf numFmtId="221" fontId="14" fillId="0" borderId="43" xfId="0" applyNumberFormat="1" applyFont="1" applyFill="1" applyBorder="1" applyAlignment="1" applyProtection="1">
      <alignment vertical="center"/>
      <protection/>
    </xf>
    <xf numFmtId="221" fontId="0" fillId="0" borderId="46" xfId="0" applyNumberFormat="1" applyFont="1" applyFill="1" applyBorder="1" applyAlignment="1" applyProtection="1">
      <alignment vertical="center"/>
      <protection/>
    </xf>
    <xf numFmtId="3" fontId="20" fillId="3" borderId="7" xfId="19" applyNumberFormat="1" applyFont="1" applyFill="1" applyBorder="1" applyAlignment="1" applyProtection="1">
      <alignment vertical="center"/>
      <protection locked="0"/>
    </xf>
    <xf numFmtId="3" fontId="20" fillId="3" borderId="11" xfId="19" applyNumberFormat="1" applyFont="1" applyFill="1" applyBorder="1" applyAlignment="1" applyProtection="1">
      <alignment vertical="center"/>
      <protection locked="0"/>
    </xf>
    <xf numFmtId="0" fontId="48" fillId="0" borderId="0" xfId="19" applyFont="1" applyAlignment="1" applyProtection="1">
      <alignment horizontal="left" vertical="center"/>
      <protection/>
    </xf>
    <xf numFmtId="0" fontId="20" fillId="0" borderId="0" xfId="19" applyFont="1" applyFill="1" applyBorder="1" applyAlignment="1" applyProtection="1">
      <alignment vertical="center"/>
      <protection/>
    </xf>
    <xf numFmtId="0" fontId="20" fillId="3" borderId="9" xfId="19" applyFont="1" applyFill="1" applyBorder="1" applyAlignment="1" applyProtection="1">
      <alignment vertical="center"/>
      <protection/>
    </xf>
    <xf numFmtId="0" fontId="20" fillId="3" borderId="18" xfId="19" applyFont="1" applyFill="1" applyBorder="1" applyAlignment="1" applyProtection="1">
      <alignment vertical="center"/>
      <protection/>
    </xf>
    <xf numFmtId="3" fontId="20" fillId="3" borderId="17" xfId="19" applyNumberFormat="1" applyFont="1" applyFill="1" applyBorder="1" applyAlignment="1" applyProtection="1">
      <alignment vertical="center"/>
      <protection/>
    </xf>
    <xf numFmtId="3" fontId="20" fillId="3" borderId="20" xfId="19" applyNumberFormat="1" applyFont="1" applyFill="1" applyBorder="1" applyAlignment="1" applyProtection="1">
      <alignment vertical="center"/>
      <protection/>
    </xf>
    <xf numFmtId="0" fontId="20" fillId="0" borderId="0" xfId="19" applyFont="1" applyFill="1" applyBorder="1" applyAlignment="1" applyProtection="1">
      <alignment horizontal="centerContinuous" vertical="center"/>
      <protection/>
    </xf>
    <xf numFmtId="3" fontId="20" fillId="0" borderId="0" xfId="19" applyNumberFormat="1" applyFont="1" applyBorder="1" applyAlignment="1" applyProtection="1">
      <alignment horizontal="centerContinuous" vertical="center"/>
      <protection/>
    </xf>
    <xf numFmtId="3" fontId="20" fillId="2" borderId="0" xfId="19" applyNumberFormat="1" applyFont="1" applyFill="1" applyBorder="1" applyAlignment="1" applyProtection="1">
      <alignment horizontal="centerContinuous" vertical="center"/>
      <protection/>
    </xf>
    <xf numFmtId="1" fontId="22" fillId="0" borderId="0" xfId="19" applyNumberFormat="1" applyFont="1" applyFill="1" applyBorder="1" applyAlignment="1" applyProtection="1">
      <alignment horizontal="center" vertical="center"/>
      <protection/>
    </xf>
    <xf numFmtId="1" fontId="22" fillId="0" borderId="2" xfId="19" applyNumberFormat="1" applyFont="1" applyFill="1" applyBorder="1" applyAlignment="1" applyProtection="1">
      <alignment horizontal="center" vertical="center"/>
      <protection/>
    </xf>
    <xf numFmtId="1" fontId="22" fillId="2" borderId="2" xfId="19" applyNumberFormat="1" applyFont="1" applyFill="1" applyBorder="1" applyAlignment="1" applyProtection="1">
      <alignment horizontal="center" vertical="center"/>
      <protection/>
    </xf>
    <xf numFmtId="3" fontId="22" fillId="0" borderId="2" xfId="19" applyNumberFormat="1" applyFont="1" applyBorder="1" applyAlignment="1" applyProtection="1">
      <alignment horizontal="center" vertical="center"/>
      <protection/>
    </xf>
    <xf numFmtId="3" fontId="23" fillId="0" borderId="2" xfId="19" applyNumberFormat="1" applyFont="1" applyFill="1" applyBorder="1" applyAlignment="1" applyProtection="1">
      <alignment horizontal="centerContinuous" vertical="center"/>
      <protection/>
    </xf>
    <xf numFmtId="1" fontId="22" fillId="2" borderId="2" xfId="19" applyNumberFormat="1" applyFont="1" applyFill="1" applyBorder="1" applyAlignment="1" applyProtection="1">
      <alignment horizontal="center" vertical="center"/>
      <protection/>
    </xf>
    <xf numFmtId="3" fontId="25" fillId="2" borderId="1" xfId="19" applyNumberFormat="1" applyFont="1" applyFill="1" applyBorder="1" applyAlignment="1" applyProtection="1">
      <alignment horizontal="center" vertical="center" wrapText="1"/>
      <protection/>
    </xf>
    <xf numFmtId="0" fontId="20" fillId="0" borderId="58" xfId="19" applyFont="1" applyBorder="1" applyAlignment="1" applyProtection="1">
      <alignment horizontal="center" vertical="center"/>
      <protection/>
    </xf>
    <xf numFmtId="2" fontId="20" fillId="0" borderId="20" xfId="19" applyNumberFormat="1" applyFont="1" applyBorder="1" applyAlignment="1" applyProtection="1">
      <alignment vertical="center"/>
      <protection/>
    </xf>
    <xf numFmtId="0" fontId="29" fillId="0" borderId="9" xfId="19" applyFont="1" applyBorder="1" applyAlignment="1" applyProtection="1">
      <alignment vertical="center"/>
      <protection/>
    </xf>
    <xf numFmtId="0" fontId="20" fillId="0" borderId="0" xfId="19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0" fillId="0" borderId="31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20" fillId="0" borderId="28" xfId="19" applyFont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vertical="center"/>
      <protection/>
    </xf>
    <xf numFmtId="0" fontId="1" fillId="0" borderId="35" xfId="0" applyFont="1" applyBorder="1" applyAlignment="1" applyProtection="1">
      <alignment vertical="center"/>
      <protection/>
    </xf>
    <xf numFmtId="172" fontId="0" fillId="3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 applyProtection="1">
      <alignment horizontal="left" vertical="center"/>
      <protection/>
    </xf>
    <xf numFmtId="0" fontId="40" fillId="0" borderId="59" xfId="0" applyFont="1" applyBorder="1" applyAlignment="1" applyProtection="1">
      <alignment horizontal="left" vertical="center"/>
      <protection/>
    </xf>
    <xf numFmtId="0" fontId="20" fillId="0" borderId="36" xfId="19" applyFont="1" applyBorder="1" applyAlignment="1" applyProtection="1">
      <alignment vertical="center"/>
      <protection/>
    </xf>
    <xf numFmtId="0" fontId="0" fillId="0" borderId="101" xfId="0" applyFont="1" applyBorder="1" applyAlignment="1" applyProtection="1">
      <alignment vertical="center"/>
      <protection/>
    </xf>
    <xf numFmtId="0" fontId="0" fillId="3" borderId="101" xfId="0" applyFont="1" applyFill="1" applyBorder="1" applyAlignment="1" applyProtection="1">
      <alignment vertical="center"/>
      <protection locked="0"/>
    </xf>
    <xf numFmtId="0" fontId="0" fillId="3" borderId="102" xfId="0" applyFont="1" applyFill="1" applyBorder="1" applyAlignment="1" applyProtection="1">
      <alignment vertical="center"/>
      <protection locked="0"/>
    </xf>
    <xf numFmtId="0" fontId="0" fillId="2" borderId="44" xfId="0" applyFont="1" applyFill="1" applyBorder="1" applyAlignment="1" applyProtection="1">
      <alignment vertical="center"/>
      <protection/>
    </xf>
    <xf numFmtId="0" fontId="20" fillId="0" borderId="44" xfId="19" applyFont="1" applyBorder="1" applyAlignment="1" applyProtection="1">
      <alignment vertical="center"/>
      <protection/>
    </xf>
    <xf numFmtId="0" fontId="0" fillId="3" borderId="103" xfId="0" applyFont="1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Continuous"/>
      <protection/>
    </xf>
    <xf numFmtId="0" fontId="20" fillId="0" borderId="62" xfId="19" applyFont="1" applyBorder="1" applyAlignment="1" applyProtection="1">
      <alignment vertical="center"/>
      <protection/>
    </xf>
    <xf numFmtId="0" fontId="25" fillId="0" borderId="2" xfId="19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Continuous" vertical="center"/>
      <protection/>
    </xf>
    <xf numFmtId="0" fontId="1" fillId="0" borderId="2" xfId="0" applyFont="1" applyFill="1" applyBorder="1" applyAlignment="1" applyProtection="1">
      <alignment horizontal="centerContinuous" vertical="center" wrapText="1"/>
      <protection/>
    </xf>
    <xf numFmtId="0" fontId="25" fillId="0" borderId="7" xfId="19" applyFont="1" applyBorder="1" applyAlignment="1" applyProtection="1">
      <alignment vertical="center"/>
      <protection locked="0"/>
    </xf>
    <xf numFmtId="0" fontId="0" fillId="4" borderId="40" xfId="0" applyFont="1" applyFill="1" applyBorder="1" applyAlignment="1" applyProtection="1">
      <alignment vertical="center"/>
      <protection/>
    </xf>
    <xf numFmtId="0" fontId="20" fillId="4" borderId="11" xfId="19" applyFont="1" applyFill="1" applyBorder="1" applyAlignment="1" applyProtection="1">
      <alignment vertical="center"/>
      <protection/>
    </xf>
    <xf numFmtId="2" fontId="20" fillId="2" borderId="104" xfId="19" applyNumberFormat="1" applyFont="1" applyFill="1" applyBorder="1" applyAlignment="1" applyProtection="1">
      <alignment vertical="center"/>
      <protection/>
    </xf>
    <xf numFmtId="2" fontId="20" fillId="2" borderId="55" xfId="19" applyNumberFormat="1" applyFont="1" applyFill="1" applyBorder="1" applyAlignment="1" applyProtection="1">
      <alignment vertical="center"/>
      <protection/>
    </xf>
    <xf numFmtId="0" fontId="20" fillId="4" borderId="28" xfId="19" applyFont="1" applyFill="1" applyBorder="1" applyAlignment="1" applyProtection="1">
      <alignment vertical="center"/>
      <protection/>
    </xf>
    <xf numFmtId="0" fontId="40" fillId="0" borderId="105" xfId="0" applyFont="1" applyBorder="1" applyAlignment="1" applyProtection="1">
      <alignment horizontal="left" vertical="center"/>
      <protection/>
    </xf>
    <xf numFmtId="0" fontId="40" fillId="0" borderId="5" xfId="0" applyFont="1" applyBorder="1" applyAlignment="1" applyProtection="1">
      <alignment horizontal="left" vertical="center"/>
      <protection/>
    </xf>
    <xf numFmtId="0" fontId="40" fillId="0" borderId="89" xfId="0" applyFont="1" applyBorder="1" applyAlignment="1" applyProtection="1">
      <alignment horizontal="left" vertical="center"/>
      <protection/>
    </xf>
    <xf numFmtId="3" fontId="15" fillId="0" borderId="0" xfId="0" applyNumberFormat="1" applyFont="1" applyBorder="1" applyAlignment="1" applyProtection="1">
      <alignment horizontal="right" vertical="center"/>
      <protection/>
    </xf>
    <xf numFmtId="0" fontId="15" fillId="0" borderId="88" xfId="0" applyFont="1" applyBorder="1" applyAlignment="1" applyProtection="1">
      <alignment vertical="center"/>
      <protection/>
    </xf>
    <xf numFmtId="0" fontId="11" fillId="0" borderId="80" xfId="0" applyFont="1" applyBorder="1" applyAlignment="1" applyProtection="1">
      <alignment vertical="center"/>
      <protection/>
    </xf>
    <xf numFmtId="3" fontId="15" fillId="0" borderId="80" xfId="0" applyNumberFormat="1" applyFont="1" applyBorder="1" applyAlignment="1" applyProtection="1">
      <alignment vertical="center"/>
      <protection/>
    </xf>
    <xf numFmtId="3" fontId="15" fillId="0" borderId="80" xfId="0" applyNumberFormat="1" applyFont="1" applyBorder="1" applyAlignment="1" applyProtection="1">
      <alignment horizontal="right" vertical="center"/>
      <protection/>
    </xf>
    <xf numFmtId="0" fontId="0" fillId="0" borderId="89" xfId="0" applyFont="1" applyBorder="1" applyAlignment="1" applyProtection="1">
      <alignment vertical="center"/>
      <protection/>
    </xf>
    <xf numFmtId="0" fontId="11" fillId="0" borderId="46" xfId="0" applyFont="1" applyBorder="1" applyAlignment="1" applyProtection="1">
      <alignment vertical="center"/>
      <protection/>
    </xf>
    <xf numFmtId="0" fontId="4" fillId="0" borderId="44" xfId="20" applyFont="1" applyBorder="1" applyAlignment="1" applyProtection="1">
      <alignment vertical="center"/>
      <protection/>
    </xf>
    <xf numFmtId="0" fontId="0" fillId="0" borderId="44" xfId="20" applyFont="1" applyBorder="1" applyAlignment="1" applyProtection="1">
      <alignment vertical="center"/>
      <protection/>
    </xf>
    <xf numFmtId="0" fontId="22" fillId="0" borderId="44" xfId="19" applyFont="1" applyBorder="1" applyAlignment="1" applyProtection="1">
      <alignment horizontal="right" vertical="center"/>
      <protection/>
    </xf>
    <xf numFmtId="2" fontId="22" fillId="2" borderId="104" xfId="19" applyNumberFormat="1" applyFont="1" applyFill="1" applyBorder="1" applyAlignment="1" applyProtection="1">
      <alignment vertical="center"/>
      <protection/>
    </xf>
    <xf numFmtId="2" fontId="22" fillId="2" borderId="44" xfId="19" applyNumberFormat="1" applyFont="1" applyFill="1" applyBorder="1" applyAlignment="1" applyProtection="1">
      <alignment vertical="center"/>
      <protection/>
    </xf>
    <xf numFmtId="2" fontId="22" fillId="2" borderId="106" xfId="19" applyNumberFormat="1" applyFont="1" applyFill="1" applyBorder="1" applyAlignment="1" applyProtection="1">
      <alignment vertical="center"/>
      <protection/>
    </xf>
    <xf numFmtId="0" fontId="0" fillId="0" borderId="107" xfId="0" applyFont="1" applyBorder="1" applyAlignment="1" applyProtection="1">
      <alignment horizontal="centerContinuous" vertical="center"/>
      <protection/>
    </xf>
    <xf numFmtId="0" fontId="40" fillId="0" borderId="28" xfId="0" applyFont="1" applyBorder="1" applyAlignment="1" applyProtection="1">
      <alignment horizontal="left" vertical="center"/>
      <protection/>
    </xf>
    <xf numFmtId="2" fontId="20" fillId="0" borderId="3" xfId="19" applyNumberFormat="1" applyFont="1" applyBorder="1" applyAlignment="1" applyProtection="1">
      <alignment vertical="center"/>
      <protection/>
    </xf>
    <xf numFmtId="0" fontId="40" fillId="0" borderId="5" xfId="0" applyFont="1" applyBorder="1" applyAlignment="1" applyProtection="1">
      <alignment vertical="center"/>
      <protection/>
    </xf>
    <xf numFmtId="0" fontId="40" fillId="0" borderId="45" xfId="0" applyFont="1" applyBorder="1" applyAlignment="1">
      <alignment horizontal="right" vertical="center"/>
    </xf>
    <xf numFmtId="0" fontId="40" fillId="0" borderId="62" xfId="0" applyFont="1" applyBorder="1" applyAlignment="1" applyProtection="1">
      <alignment horizontal="left" vertical="center"/>
      <protection/>
    </xf>
    <xf numFmtId="0" fontId="11" fillId="0" borderId="46" xfId="0" applyFont="1" applyFill="1" applyBorder="1" applyAlignment="1" applyProtection="1">
      <alignment horizontal="left" vertical="center" wrapText="1"/>
      <protection/>
    </xf>
    <xf numFmtId="0" fontId="11" fillId="0" borderId="108" xfId="0" applyFont="1" applyFill="1" applyBorder="1" applyAlignment="1" applyProtection="1">
      <alignment horizontal="left" vertical="center" wrapText="1"/>
      <protection/>
    </xf>
    <xf numFmtId="221" fontId="14" fillId="0" borderId="109" xfId="0" applyNumberFormat="1" applyFont="1" applyFill="1" applyBorder="1" applyAlignment="1" applyProtection="1">
      <alignment vertical="center"/>
      <protection/>
    </xf>
    <xf numFmtId="221" fontId="0" fillId="0" borderId="110" xfId="0" applyNumberFormat="1" applyFont="1" applyFill="1" applyBorder="1" applyAlignment="1" applyProtection="1">
      <alignment vertical="center"/>
      <protection/>
    </xf>
    <xf numFmtId="2" fontId="25" fillId="0" borderId="2" xfId="19" applyNumberFormat="1" applyFont="1" applyFill="1" applyBorder="1" applyAlignment="1" applyProtection="1">
      <alignment horizontal="center" vertical="center"/>
      <protection/>
    </xf>
    <xf numFmtId="0" fontId="20" fillId="0" borderId="0" xfId="19" applyFont="1" applyAlignment="1" applyProtection="1">
      <alignment horizontal="centerContinuous" vertical="center" wrapText="1"/>
      <protection/>
    </xf>
    <xf numFmtId="0" fontId="0" fillId="0" borderId="0" xfId="0" applyFont="1" applyAlignment="1">
      <alignment horizontal="center" vertical="center" wrapText="1"/>
    </xf>
    <xf numFmtId="4" fontId="20" fillId="3" borderId="4" xfId="19" applyNumberFormat="1" applyFont="1" applyFill="1" applyBorder="1" applyAlignment="1" applyProtection="1">
      <alignment vertical="center"/>
      <protection locked="0"/>
    </xf>
    <xf numFmtId="172" fontId="0" fillId="3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 applyProtection="1">
      <alignment horizontal="center" vertical="center"/>
      <protection/>
    </xf>
    <xf numFmtId="172" fontId="20" fillId="0" borderId="14" xfId="19" applyNumberFormat="1" applyFont="1" applyBorder="1" applyAlignment="1" applyProtection="1">
      <alignment horizontal="center" vertical="center"/>
      <protection/>
    </xf>
    <xf numFmtId="0" fontId="40" fillId="0" borderId="101" xfId="0" applyFont="1" applyBorder="1" applyAlignment="1" applyProtection="1">
      <alignment vertical="center"/>
      <protection/>
    </xf>
    <xf numFmtId="172" fontId="0" fillId="2" borderId="65" xfId="0" applyNumberFormat="1" applyFont="1" applyFill="1" applyBorder="1" applyAlignment="1" applyProtection="1">
      <alignment horizontal="center" vertical="center"/>
      <protection/>
    </xf>
    <xf numFmtId="3" fontId="20" fillId="0" borderId="37" xfId="19" applyNumberFormat="1" applyFont="1" applyFill="1" applyBorder="1" applyAlignment="1" applyProtection="1">
      <alignment horizontal="center" vertical="center"/>
      <protection/>
    </xf>
    <xf numFmtId="0" fontId="4" fillId="0" borderId="111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0" fillId="0" borderId="112" xfId="0" applyFont="1" applyBorder="1" applyAlignment="1" applyProtection="1">
      <alignment horizontal="center" vertical="center"/>
      <protection/>
    </xf>
    <xf numFmtId="0" fontId="0" fillId="0" borderId="113" xfId="0" applyFont="1" applyBorder="1" applyAlignment="1" applyProtection="1">
      <alignment vertical="center"/>
      <protection/>
    </xf>
    <xf numFmtId="0" fontId="40" fillId="0" borderId="114" xfId="0" applyFont="1" applyBorder="1" applyAlignment="1" applyProtection="1">
      <alignment horizontal="right" vertical="center"/>
      <protection/>
    </xf>
    <xf numFmtId="0" fontId="0" fillId="0" borderId="115" xfId="0" applyFont="1" applyBorder="1" applyAlignment="1" applyProtection="1">
      <alignment vertical="center"/>
      <protection/>
    </xf>
    <xf numFmtId="222" fontId="4" fillId="0" borderId="116" xfId="0" applyNumberFormat="1" applyFont="1" applyBorder="1" applyAlignment="1" applyProtection="1">
      <alignment horizontal="center" vertical="center"/>
      <protection/>
    </xf>
    <xf numFmtId="0" fontId="4" fillId="2" borderId="115" xfId="0" applyFont="1" applyFill="1" applyBorder="1" applyAlignment="1" applyProtection="1">
      <alignment horizontal="center" vertical="center"/>
      <protection/>
    </xf>
    <xf numFmtId="2" fontId="18" fillId="0" borderId="117" xfId="0" applyNumberFormat="1" applyFont="1" applyBorder="1" applyAlignment="1" applyProtection="1">
      <alignment horizontal="center" vertical="center"/>
      <protection/>
    </xf>
    <xf numFmtId="0" fontId="40" fillId="0" borderId="30" xfId="0" applyFont="1" applyBorder="1" applyAlignment="1" applyProtection="1">
      <alignment horizontal="left" vertical="center"/>
      <protection/>
    </xf>
    <xf numFmtId="0" fontId="0" fillId="4" borderId="2" xfId="0" applyFill="1" applyBorder="1" applyAlignment="1" applyProtection="1">
      <alignment/>
      <protection/>
    </xf>
    <xf numFmtId="0" fontId="0" fillId="0" borderId="118" xfId="0" applyFont="1" applyBorder="1" applyAlignment="1" applyProtection="1">
      <alignment vertical="center"/>
      <protection/>
    </xf>
    <xf numFmtId="0" fontId="0" fillId="4" borderId="118" xfId="0" applyFont="1" applyFill="1" applyBorder="1" applyAlignment="1" applyProtection="1">
      <alignment vertical="center"/>
      <protection/>
    </xf>
    <xf numFmtId="0" fontId="0" fillId="4" borderId="43" xfId="0" applyFont="1" applyFill="1" applyBorder="1" applyAlignment="1" applyProtection="1">
      <alignment vertical="center"/>
      <protection/>
    </xf>
    <xf numFmtId="3" fontId="20" fillId="3" borderId="37" xfId="19" applyNumberFormat="1" applyFont="1" applyFill="1" applyBorder="1" applyAlignment="1" applyProtection="1">
      <alignment vertical="center"/>
      <protection locked="0"/>
    </xf>
    <xf numFmtId="9" fontId="25" fillId="3" borderId="2" xfId="18" applyFont="1" applyFill="1" applyBorder="1" applyAlignment="1" applyProtection="1">
      <alignment horizontal="center" vertical="center"/>
      <protection locked="0"/>
    </xf>
    <xf numFmtId="4" fontId="20" fillId="0" borderId="119" xfId="19" applyNumberFormat="1" applyFont="1" applyFill="1" applyBorder="1" applyAlignment="1" applyProtection="1">
      <alignment vertical="center"/>
      <protection/>
    </xf>
    <xf numFmtId="4" fontId="20" fillId="0" borderId="12" xfId="19" applyNumberFormat="1" applyFont="1" applyFill="1" applyBorder="1" applyAlignment="1" applyProtection="1">
      <alignment vertical="center"/>
      <protection/>
    </xf>
    <xf numFmtId="4" fontId="20" fillId="0" borderId="103" xfId="19" applyNumberFormat="1" applyFont="1" applyFill="1" applyBorder="1" applyAlignment="1" applyProtection="1">
      <alignment vertical="center"/>
      <protection/>
    </xf>
    <xf numFmtId="1" fontId="25" fillId="3" borderId="2" xfId="19" applyNumberFormat="1" applyFont="1" applyFill="1" applyBorder="1" applyAlignment="1" applyProtection="1">
      <alignment horizontal="center" vertical="center"/>
      <protection locked="0"/>
    </xf>
    <xf numFmtId="0" fontId="20" fillId="0" borderId="26" xfId="19" applyFont="1" applyFill="1" applyBorder="1" applyAlignment="1" applyProtection="1">
      <alignment horizontal="right" vertical="center"/>
      <protection/>
    </xf>
    <xf numFmtId="0" fontId="40" fillId="0" borderId="31" xfId="0" applyFont="1" applyBorder="1" applyAlignment="1">
      <alignment horizontal="center" vertical="center" wrapText="1"/>
    </xf>
    <xf numFmtId="1" fontId="20" fillId="0" borderId="30" xfId="19" applyNumberFormat="1" applyFont="1" applyBorder="1" applyAlignment="1" applyProtection="1">
      <alignment vertical="center"/>
      <protection/>
    </xf>
    <xf numFmtId="176" fontId="20" fillId="3" borderId="22" xfId="19" applyNumberFormat="1" applyFont="1" applyFill="1" applyBorder="1" applyAlignment="1" applyProtection="1">
      <alignment vertical="center"/>
      <protection locked="0"/>
    </xf>
    <xf numFmtId="176" fontId="20" fillId="3" borderId="26" xfId="19" applyNumberFormat="1" applyFont="1" applyFill="1" applyBorder="1" applyAlignment="1" applyProtection="1">
      <alignment vertical="center"/>
      <protection locked="0"/>
    </xf>
    <xf numFmtId="176" fontId="20" fillId="3" borderId="14" xfId="19" applyNumberFormat="1" applyFont="1" applyFill="1" applyBorder="1" applyAlignment="1" applyProtection="1">
      <alignment vertical="center"/>
      <protection locked="0"/>
    </xf>
    <xf numFmtId="1" fontId="23" fillId="0" borderId="35" xfId="19" applyNumberFormat="1" applyFont="1" applyBorder="1" applyAlignment="1" applyProtection="1">
      <alignment horizontal="centerContinuous" vertical="center"/>
      <protection/>
    </xf>
    <xf numFmtId="1" fontId="20" fillId="3" borderId="19" xfId="19" applyNumberFormat="1" applyFont="1" applyFill="1" applyBorder="1" applyAlignment="1" applyProtection="1">
      <alignment vertical="center"/>
      <protection locked="0"/>
    </xf>
    <xf numFmtId="1" fontId="20" fillId="2" borderId="26" xfId="19" applyNumberFormat="1" applyFont="1" applyFill="1" applyBorder="1" applyAlignment="1" applyProtection="1">
      <alignment vertical="center"/>
      <protection/>
    </xf>
    <xf numFmtId="1" fontId="20" fillId="2" borderId="37" xfId="19" applyNumberFormat="1" applyFont="1" applyFill="1" applyBorder="1" applyAlignment="1" applyProtection="1">
      <alignment vertical="center"/>
      <protection/>
    </xf>
    <xf numFmtId="1" fontId="0" fillId="0" borderId="36" xfId="0" applyNumberFormat="1" applyFont="1" applyFill="1" applyBorder="1" applyAlignment="1" applyProtection="1">
      <alignment vertical="center"/>
      <protection/>
    </xf>
    <xf numFmtId="1" fontId="0" fillId="3" borderId="36" xfId="0" applyNumberFormat="1" applyFont="1" applyFill="1" applyBorder="1" applyAlignment="1" applyProtection="1">
      <alignment vertical="center"/>
      <protection locked="0"/>
    </xf>
    <xf numFmtId="1" fontId="0" fillId="0" borderId="54" xfId="0" applyNumberFormat="1" applyFont="1" applyFill="1" applyBorder="1" applyAlignment="1" applyProtection="1">
      <alignment vertical="center"/>
      <protection/>
    </xf>
    <xf numFmtId="3" fontId="0" fillId="2" borderId="17" xfId="0" applyNumberFormat="1" applyFont="1" applyFill="1" applyBorder="1" applyAlignment="1" applyProtection="1">
      <alignment vertical="center"/>
      <protection/>
    </xf>
    <xf numFmtId="3" fontId="0" fillId="2" borderId="20" xfId="0" applyNumberFormat="1" applyFont="1" applyFill="1" applyBorder="1" applyAlignment="1" applyProtection="1">
      <alignment vertical="center"/>
      <protection/>
    </xf>
    <xf numFmtId="9" fontId="36" fillId="0" borderId="14" xfId="18" applyFont="1" applyFill="1" applyBorder="1" applyAlignment="1" applyProtection="1">
      <alignment horizontal="center" vertical="center"/>
      <protection/>
    </xf>
    <xf numFmtId="9" fontId="36" fillId="0" borderId="14" xfId="18" applyFont="1" applyBorder="1" applyAlignment="1" applyProtection="1">
      <alignment horizontal="center" vertical="center"/>
      <protection/>
    </xf>
    <xf numFmtId="0" fontId="27" fillId="0" borderId="120" xfId="19" applyFont="1" applyBorder="1" applyAlignment="1" applyProtection="1">
      <alignment horizontal="centerContinuous"/>
      <protection/>
    </xf>
    <xf numFmtId="0" fontId="27" fillId="0" borderId="39" xfId="19" applyFont="1" applyBorder="1" applyAlignment="1" applyProtection="1">
      <alignment horizontal="centerContinuous"/>
      <protection/>
    </xf>
    <xf numFmtId="0" fontId="23" fillId="3" borderId="35" xfId="19" applyFont="1" applyFill="1" applyBorder="1" applyAlignment="1" applyProtection="1">
      <alignment horizontal="center" vertical="center"/>
      <protection locked="0"/>
    </xf>
    <xf numFmtId="0" fontId="23" fillId="3" borderId="1" xfId="19" applyFont="1" applyFill="1" applyBorder="1" applyAlignment="1" applyProtection="1">
      <alignment horizontal="center" vertical="center"/>
      <protection locked="0"/>
    </xf>
    <xf numFmtId="0" fontId="23" fillId="3" borderId="5" xfId="19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27" fillId="0" borderId="0" xfId="19" applyFont="1" applyAlignment="1" applyProtection="1">
      <alignment horizontal="center" vertical="center" wrapText="1"/>
      <protection/>
    </xf>
    <xf numFmtId="0" fontId="23" fillId="5" borderId="35" xfId="19" applyFont="1" applyFill="1" applyBorder="1" applyAlignment="1" applyProtection="1">
      <alignment horizontal="center" vertical="center"/>
      <protection/>
    </xf>
    <xf numFmtId="0" fontId="23" fillId="5" borderId="1" xfId="19" applyFont="1" applyFill="1" applyBorder="1" applyAlignment="1" applyProtection="1">
      <alignment horizontal="center" vertical="center"/>
      <protection/>
    </xf>
    <xf numFmtId="0" fontId="23" fillId="5" borderId="5" xfId="19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" fillId="0" borderId="35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left" vertical="center"/>
      <protection/>
    </xf>
    <xf numFmtId="0" fontId="0" fillId="0" borderId="111" xfId="20" applyFont="1" applyBorder="1" applyAlignment="1" applyProtection="1">
      <alignment horizontal="left" vertical="center"/>
      <protection/>
    </xf>
    <xf numFmtId="0" fontId="0" fillId="0" borderId="6" xfId="20" applyFont="1" applyBorder="1" applyAlignment="1" applyProtection="1">
      <alignment horizontal="left" vertical="center"/>
      <protection/>
    </xf>
    <xf numFmtId="0" fontId="0" fillId="0" borderId="23" xfId="20" applyFont="1" applyBorder="1" applyAlignment="1" applyProtection="1">
      <alignment horizontal="left" vertical="center"/>
      <protection/>
    </xf>
    <xf numFmtId="0" fontId="37" fillId="5" borderId="35" xfId="0" applyFont="1" applyFill="1" applyBorder="1" applyAlignment="1" applyProtection="1">
      <alignment horizontal="center" vertical="center"/>
      <protection/>
    </xf>
    <xf numFmtId="0" fontId="37" fillId="5" borderId="1" xfId="0" applyFont="1" applyFill="1" applyBorder="1" applyAlignment="1" applyProtection="1">
      <alignment horizontal="center" vertical="center"/>
      <protection/>
    </xf>
    <xf numFmtId="0" fontId="37" fillId="5" borderId="5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" borderId="65" xfId="0" applyFont="1" applyFill="1" applyBorder="1" applyAlignment="1" applyProtection="1">
      <alignment horizontal="left" vertical="center"/>
      <protection locked="0"/>
    </xf>
    <xf numFmtId="0" fontId="0" fillId="3" borderId="28" xfId="0" applyFont="1" applyFill="1" applyBorder="1" applyAlignment="1" applyProtection="1">
      <alignment horizontal="left" vertical="center"/>
      <protection locked="0"/>
    </xf>
    <xf numFmtId="0" fontId="0" fillId="3" borderId="104" xfId="0" applyFont="1" applyFill="1" applyBorder="1" applyAlignment="1" applyProtection="1">
      <alignment horizontal="left" vertical="center"/>
      <protection locked="0"/>
    </xf>
    <xf numFmtId="0" fontId="0" fillId="3" borderId="55" xfId="0" applyFont="1" applyFill="1" applyBorder="1" applyAlignment="1" applyProtection="1">
      <alignment horizontal="left" vertical="center"/>
      <protection locked="0"/>
    </xf>
    <xf numFmtId="0" fontId="14" fillId="0" borderId="81" xfId="0" applyFont="1" applyFill="1" applyBorder="1" applyAlignment="1" applyProtection="1">
      <alignment vertical="center" wrapText="1"/>
      <protection/>
    </xf>
    <xf numFmtId="0" fontId="0" fillId="0" borderId="42" xfId="0" applyBorder="1" applyAlignment="1">
      <alignment vertical="center" wrapText="1"/>
    </xf>
    <xf numFmtId="0" fontId="0" fillId="0" borderId="121" xfId="0" applyBorder="1" applyAlignment="1">
      <alignment vertical="center" wrapText="1"/>
    </xf>
    <xf numFmtId="0" fontId="0" fillId="0" borderId="9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221" fontId="14" fillId="0" borderId="122" xfId="0" applyNumberFormat="1" applyFont="1" applyFill="1" applyBorder="1" applyAlignment="1" applyProtection="1">
      <alignment horizontal="center" vertical="center"/>
      <protection/>
    </xf>
    <xf numFmtId="221" fontId="14" fillId="0" borderId="123" xfId="0" applyNumberFormat="1" applyFont="1" applyFill="1" applyBorder="1" applyAlignment="1" applyProtection="1">
      <alignment horizontal="center" vertical="center"/>
      <protection/>
    </xf>
    <xf numFmtId="221" fontId="14" fillId="0" borderId="91" xfId="0" applyNumberFormat="1" applyFont="1" applyFill="1" applyBorder="1" applyAlignment="1" applyProtection="1">
      <alignment horizontal="center" vertical="center"/>
      <protection/>
    </xf>
    <xf numFmtId="221" fontId="14" fillId="0" borderId="92" xfId="0" applyNumberFormat="1" applyFont="1" applyFill="1" applyBorder="1" applyAlignment="1" applyProtection="1">
      <alignment horizontal="center" vertical="center"/>
      <protection/>
    </xf>
    <xf numFmtId="3" fontId="13" fillId="0" borderId="122" xfId="0" applyNumberFormat="1" applyFont="1" applyFill="1" applyBorder="1" applyAlignment="1" applyProtection="1">
      <alignment horizontal="center" vertical="center"/>
      <protection/>
    </xf>
    <xf numFmtId="3" fontId="13" fillId="0" borderId="123" xfId="0" applyNumberFormat="1" applyFont="1" applyFill="1" applyBorder="1" applyAlignment="1" applyProtection="1">
      <alignment horizontal="center" vertical="center"/>
      <protection/>
    </xf>
    <xf numFmtId="3" fontId="13" fillId="0" borderId="91" xfId="0" applyNumberFormat="1" applyFont="1" applyFill="1" applyBorder="1" applyAlignment="1" applyProtection="1">
      <alignment horizontal="center" vertical="center"/>
      <protection/>
    </xf>
    <xf numFmtId="3" fontId="13" fillId="0" borderId="92" xfId="0" applyNumberFormat="1" applyFont="1" applyFill="1" applyBorder="1" applyAlignment="1" applyProtection="1">
      <alignment horizontal="center" vertical="center"/>
      <protection/>
    </xf>
    <xf numFmtId="0" fontId="15" fillId="5" borderId="35" xfId="0" applyFont="1" applyFill="1" applyBorder="1" applyAlignment="1" applyProtection="1">
      <alignment horizontal="center" vertical="center"/>
      <protection/>
    </xf>
    <xf numFmtId="0" fontId="15" fillId="5" borderId="1" xfId="0" applyFont="1" applyFill="1" applyBorder="1" applyAlignment="1" applyProtection="1">
      <alignment horizontal="center" vertical="center"/>
      <protection/>
    </xf>
    <xf numFmtId="0" fontId="15" fillId="5" borderId="5" xfId="0" applyFont="1" applyFill="1" applyBorder="1" applyAlignment="1" applyProtection="1">
      <alignment horizontal="center" vertical="center"/>
      <protection/>
    </xf>
    <xf numFmtId="3" fontId="15" fillId="0" borderId="124" xfId="0" applyNumberFormat="1" applyFont="1" applyBorder="1" applyAlignment="1" applyProtection="1">
      <alignment horizontal="center" vertical="center"/>
      <protection/>
    </xf>
    <xf numFmtId="3" fontId="15" fillId="0" borderId="125" xfId="0" applyNumberFormat="1" applyFont="1" applyBorder="1" applyAlignment="1" applyProtection="1">
      <alignment horizontal="center" vertical="center"/>
      <protection/>
    </xf>
    <xf numFmtId="3" fontId="15" fillId="0" borderId="126" xfId="0" applyNumberFormat="1" applyFont="1" applyBorder="1" applyAlignment="1" applyProtection="1">
      <alignment horizontal="center" vertical="center"/>
      <protection/>
    </xf>
    <xf numFmtId="3" fontId="36" fillId="0" borderId="65" xfId="0" applyNumberFormat="1" applyFont="1" applyBorder="1" applyAlignment="1" applyProtection="1">
      <alignment horizontal="center" vertical="center"/>
      <protection/>
    </xf>
    <xf numFmtId="3" fontId="36" fillId="0" borderId="28" xfId="0" applyNumberFormat="1" applyFont="1" applyBorder="1" applyAlignment="1" applyProtection="1">
      <alignment horizontal="center" vertical="center"/>
      <protection/>
    </xf>
    <xf numFmtId="0" fontId="46" fillId="5" borderId="35" xfId="0" applyFont="1" applyFill="1" applyBorder="1" applyAlignment="1" applyProtection="1">
      <alignment horizontal="center" vertical="center"/>
      <protection/>
    </xf>
    <xf numFmtId="0" fontId="46" fillId="5" borderId="1" xfId="0" applyFont="1" applyFill="1" applyBorder="1" applyAlignment="1" applyProtection="1">
      <alignment horizontal="center" vertical="center"/>
      <protection/>
    </xf>
    <xf numFmtId="0" fontId="46" fillId="5" borderId="5" xfId="0" applyFont="1" applyFill="1" applyBorder="1" applyAlignment="1" applyProtection="1">
      <alignment horizontal="center" vertical="center"/>
      <protection/>
    </xf>
    <xf numFmtId="3" fontId="36" fillId="0" borderId="65" xfId="0" applyNumberFormat="1" applyFont="1" applyFill="1" applyBorder="1" applyAlignment="1" applyProtection="1">
      <alignment horizontal="center" vertical="center"/>
      <protection/>
    </xf>
    <xf numFmtId="3" fontId="36" fillId="0" borderId="28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Dezimal_Seite1" xfId="17"/>
    <cellStyle name="Percent" xfId="18"/>
    <cellStyle name="Standard_Seite1" xfId="19"/>
    <cellStyle name="Standard_TPle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Kosten je Jungpferd</a:t>
            </a:r>
          </a:p>
        </c:rich>
      </c:tx>
      <c:layout>
        <c:manualLayout>
          <c:xMode val="factor"/>
          <c:yMode val="factor"/>
          <c:x val="-0.039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23925"/>
          <c:w val="0.43425"/>
          <c:h val="0.66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CCFFCC"/>
                </a:fgClr>
                <a:bgClr>
                  <a:srgbClr val="336666"/>
                </a:bgClr>
              </a:pattFill>
            </c:spPr>
          </c:dPt>
          <c:dPt>
            <c:idx val="1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Check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olidDmn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horzBrick">
                <a:fgClr>
                  <a:srgbClr val="0080C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\ [$€-1]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('Folie 1'!$C$12:$C$17,'Folie 1'!$C$20:$C$23)</c:f>
              <c:strCache>
                <c:ptCount val="10"/>
                <c:pt idx="0">
                  <c:v> Bestandsergänzung</c:v>
                </c:pt>
                <c:pt idx="1">
                  <c:v> Aufzuchtkosten</c:v>
                </c:pt>
                <c:pt idx="2">
                  <c:v> Futter</c:v>
                </c:pt>
                <c:pt idx="3">
                  <c:v> Sonstige variable Kosten</c:v>
                </c:pt>
                <c:pt idx="4">
                  <c:v> Variable Lohnkosten</c:v>
                </c:pt>
                <c:pt idx="5">
                  <c:v> Zinsansatz</c:v>
                </c:pt>
                <c:pt idx="6">
                  <c:v>Feste Maschinenkosten Tierhaltung</c:v>
                </c:pt>
                <c:pt idx="7">
                  <c:v>Feste Gebäudekosten Tierhaltung</c:v>
                </c:pt>
                <c:pt idx="8">
                  <c:v>Arbeitskosten der ständigen AK</c:v>
                </c:pt>
                <c:pt idx="9">
                  <c:v>Sonstige Fest- u. Gemeinkosten</c:v>
                </c:pt>
              </c:strCache>
            </c:strRef>
          </c:cat>
          <c:val>
            <c:numRef>
              <c:f>('Folie 1'!$J$12:$J$17,'Folie 1'!$J$20:$J$23)</c:f>
              <c:numCache>
                <c:ptCount val="10"/>
                <c:pt idx="0">
                  <c:v>833.3333333333333</c:v>
                </c:pt>
                <c:pt idx="1">
                  <c:v>57.142857142857146</c:v>
                </c:pt>
                <c:pt idx="2">
                  <c:v>2721.4285714285716</c:v>
                </c:pt>
                <c:pt idx="3">
                  <c:v>3885.714285714286</c:v>
                </c:pt>
                <c:pt idx="4">
                  <c:v>0</c:v>
                </c:pt>
                <c:pt idx="5">
                  <c:v>1396.0714285714287</c:v>
                </c:pt>
                <c:pt idx="6">
                  <c:v>184.57142857142856</c:v>
                </c:pt>
                <c:pt idx="7">
                  <c:v>717.1428571428572</c:v>
                </c:pt>
                <c:pt idx="8">
                  <c:v>3117.1428571428573</c:v>
                </c:pt>
                <c:pt idx="9">
                  <c:v>325.7142857142858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25"/>
          <c:y val="0.109"/>
          <c:w val="0.34425"/>
          <c:h val="0.733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75"/>
  </sheetViews>
  <pageMargins left="0.75" right="0.65" top="0.69" bottom="0.83" header="0.36" footer="0.4921259845"/>
  <pageSetup horizontalDpi="600" verticalDpi="600" orientation="landscape" paperSize="9"/>
  <headerFooter>
    <oddFooter>&amp;LLEL Schwäbisch Gmünd, Abt.2&amp;C&amp;F&amp;A&amp;R&amp;D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0.83825</cdr:x>
      <cdr:y>0.88025</cdr:y>
    </cdr:from>
    <cdr:to>
      <cdr:x>0.9425</cdr:x>
      <cdr:y>0.977</cdr:y>
    </cdr:to>
    <cdr:sp textlink="'Seite 3'!$L$25">
      <cdr:nvSpPr>
        <cdr:cNvPr id="1" name="TextBox 1"/>
        <cdr:cNvSpPr txBox="1">
          <a:spLocks noChangeArrowheads="1"/>
        </cdr:cNvSpPr>
      </cdr:nvSpPr>
      <cdr:spPr>
        <a:xfrm>
          <a:off x="7839075" y="5419725"/>
          <a:ext cx="971550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39db4f1-ae2a-457b-8a34-ad81e5e3d54e}" type="TxLink"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12.754</a:t>
          </a:fld>
        </a:p>
      </cdr:txBody>
    </cdr:sp>
  </cdr:relSizeAnchor>
  <cdr:relSizeAnchor xmlns:cdr="http://schemas.openxmlformats.org/drawingml/2006/chartDrawing">
    <cdr:from>
      <cdr:x>0.58025</cdr:x>
      <cdr:y>0.88025</cdr:y>
    </cdr:from>
    <cdr:to>
      <cdr:x>0.83825</cdr:x>
      <cdr:y>0.98925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0" y="5419725"/>
          <a:ext cx="241935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Summe Kosten (abzgl. Nebenleistungen) in €: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62675"/>
    <xdr:graphicFrame>
      <xdr:nvGraphicFramePr>
        <xdr:cNvPr id="1" name="Shape 1025"/>
        <xdr:cNvGraphicFramePr/>
      </xdr:nvGraphicFramePr>
      <xdr:xfrm>
        <a:off x="0" y="0"/>
        <a:ext cx="93630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Ko_ZuStu%2005.04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 1 "/>
      <sheetName val="Seite 2"/>
      <sheetName val="Seite 3"/>
      <sheetName val="Seite 4"/>
      <sheetName val="Folie 1"/>
      <sheetName val="Folie 2"/>
      <sheetName val="Dia"/>
      <sheetName val="Stammda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showZeros="0" tabSelected="1" workbookViewId="0" topLeftCell="A1">
      <selection activeCell="O4" sqref="O4"/>
    </sheetView>
  </sheetViews>
  <sheetFormatPr defaultColWidth="11.421875" defaultRowHeight="12.75"/>
  <cols>
    <col min="1" max="1" width="1.7109375" style="5" customWidth="1"/>
    <col min="2" max="2" width="3.00390625" style="13" customWidth="1"/>
    <col min="3" max="3" width="2.8515625" style="5" customWidth="1"/>
    <col min="4" max="4" width="3.7109375" style="5" customWidth="1"/>
    <col min="5" max="5" width="6.7109375" style="5" customWidth="1"/>
    <col min="6" max="6" width="11.28125" style="5" customWidth="1"/>
    <col min="7" max="7" width="12.00390625" style="5" customWidth="1"/>
    <col min="8" max="9" width="8.7109375" style="5" customWidth="1"/>
    <col min="10" max="10" width="11.28125" style="5" customWidth="1"/>
    <col min="11" max="11" width="10.140625" style="5" customWidth="1"/>
    <col min="12" max="12" width="1.7109375" style="5" customWidth="1"/>
    <col min="13" max="13" width="9.421875" style="5" customWidth="1"/>
    <col min="14" max="14" width="2.7109375" style="5" customWidth="1"/>
    <col min="15" max="15" width="12.00390625" style="5" customWidth="1"/>
    <col min="16" max="16" width="8.7109375" style="5" customWidth="1"/>
    <col min="17" max="18" width="0" style="5" hidden="1" customWidth="1"/>
    <col min="19" max="19" width="24.7109375" style="5" hidden="1" customWidth="1"/>
    <col min="20" max="16384" width="11.421875" style="5" customWidth="1"/>
  </cols>
  <sheetData>
    <row r="1" ht="9" customHeight="1">
      <c r="A1" s="3"/>
    </row>
    <row r="2" spans="2:16" ht="23.25">
      <c r="B2" s="363" t="s">
        <v>0</v>
      </c>
      <c r="C2" s="4"/>
      <c r="D2" s="4"/>
      <c r="H2"/>
      <c r="I2" s="741" t="s">
        <v>206</v>
      </c>
      <c r="J2" s="742"/>
      <c r="K2" s="742"/>
      <c r="L2" s="742"/>
      <c r="M2" s="742"/>
      <c r="N2" s="742"/>
      <c r="O2" s="743"/>
      <c r="P2" s="6"/>
    </row>
    <row r="3" spans="2:15" ht="15">
      <c r="B3" s="367" t="s">
        <v>169</v>
      </c>
      <c r="H3" s="6"/>
      <c r="I3"/>
      <c r="J3"/>
      <c r="K3" s="7"/>
      <c r="L3" s="6"/>
      <c r="M3" s="12"/>
      <c r="N3" s="6"/>
      <c r="O3" s="6"/>
    </row>
    <row r="4" spans="2:15" ht="18" customHeight="1">
      <c r="B4" s="615" t="s">
        <v>170</v>
      </c>
      <c r="I4"/>
      <c r="J4" s="8"/>
      <c r="K4" s="9"/>
      <c r="M4" s="8"/>
      <c r="N4" s="8"/>
      <c r="O4" s="10"/>
    </row>
    <row r="5" spans="2:19" ht="47.25" customHeight="1">
      <c r="B5" s="745" t="s">
        <v>207</v>
      </c>
      <c r="C5" s="745"/>
      <c r="D5" s="745"/>
      <c r="E5" s="14">
        <v>5</v>
      </c>
      <c r="F5" s="723" t="s">
        <v>208</v>
      </c>
      <c r="G5" s="721">
        <v>12</v>
      </c>
      <c r="H5" s="13" t="s">
        <v>199</v>
      </c>
      <c r="I5" s="717">
        <v>0.7</v>
      </c>
      <c r="J5" s="723" t="s">
        <v>209</v>
      </c>
      <c r="K5" s="721">
        <v>36</v>
      </c>
      <c r="Q5" s="366" t="s">
        <v>2</v>
      </c>
      <c r="R5" s="616"/>
      <c r="S5" s="692">
        <v>1</v>
      </c>
    </row>
    <row r="6" spans="10:15" ht="9" customHeight="1">
      <c r="J6" s="8"/>
      <c r="K6" s="9"/>
      <c r="M6" s="8"/>
      <c r="N6" s="8"/>
      <c r="O6" s="10"/>
    </row>
    <row r="7" spans="2:15" ht="25.5">
      <c r="B7" s="328">
        <v>1</v>
      </c>
      <c r="C7" s="429"/>
      <c r="D7" s="429"/>
      <c r="E7" s="430"/>
      <c r="F7" s="429"/>
      <c r="G7" s="429"/>
      <c r="H7" s="429"/>
      <c r="I7" s="15" t="s">
        <v>198</v>
      </c>
      <c r="J7" s="630" t="s">
        <v>155</v>
      </c>
      <c r="K7" s="16" t="s">
        <v>141</v>
      </c>
      <c r="L7" s="17"/>
      <c r="M7" s="18" t="s">
        <v>154</v>
      </c>
      <c r="N7" s="17"/>
      <c r="O7" s="18" t="s">
        <v>205</v>
      </c>
    </row>
    <row r="8" spans="5:18" ht="9" customHeight="1">
      <c r="E8" s="19"/>
      <c r="Q8"/>
      <c r="R8"/>
    </row>
    <row r="9" spans="2:18" ht="18" customHeight="1">
      <c r="B9" s="329">
        <f>B7+1</f>
        <v>2</v>
      </c>
      <c r="C9" s="20" t="s">
        <v>183</v>
      </c>
      <c r="D9" s="20"/>
      <c r="E9" s="20"/>
      <c r="F9" s="21"/>
      <c r="G9" s="22"/>
      <c r="H9" s="22"/>
      <c r="I9" s="22"/>
      <c r="J9" s="21"/>
      <c r="K9" s="23"/>
      <c r="L9" s="24"/>
      <c r="M9" s="25">
        <f>K10+K11+K12+K13</f>
        <v>5983.333333333333</v>
      </c>
      <c r="N9" s="6"/>
      <c r="O9" s="25">
        <f>M9/$I$10</f>
        <v>8547.619047619048</v>
      </c>
      <c r="Q9"/>
      <c r="R9"/>
    </row>
    <row r="10" spans="2:18" ht="15" customHeight="1">
      <c r="B10" s="329">
        <f>B9+1</f>
        <v>3</v>
      </c>
      <c r="C10" s="26"/>
      <c r="D10" s="27" t="s">
        <v>3</v>
      </c>
      <c r="E10" s="27" t="s">
        <v>4</v>
      </c>
      <c r="F10" s="28"/>
      <c r="G10" s="390" t="s">
        <v>201</v>
      </c>
      <c r="H10" s="290"/>
      <c r="I10" s="718">
        <f>I5</f>
        <v>0.7</v>
      </c>
      <c r="J10" s="613">
        <v>8500</v>
      </c>
      <c r="K10" s="29">
        <f>I10*J10</f>
        <v>5950</v>
      </c>
      <c r="L10" s="6"/>
      <c r="M10" s="304"/>
      <c r="N10" s="6"/>
      <c r="O10" s="305"/>
      <c r="P10" s="6"/>
      <c r="Q10"/>
      <c r="R10"/>
    </row>
    <row r="11" spans="2:18" ht="12.75" customHeight="1">
      <c r="B11" s="330">
        <f>B10+1</f>
        <v>4</v>
      </c>
      <c r="C11" s="30"/>
      <c r="D11" s="31" t="s">
        <v>3</v>
      </c>
      <c r="E11" s="31" t="s">
        <v>5</v>
      </c>
      <c r="F11" s="32"/>
      <c r="G11" s="390" t="s">
        <v>6</v>
      </c>
      <c r="H11" s="336"/>
      <c r="I11" s="719">
        <f>1/G5</f>
        <v>0.08333333333333333</v>
      </c>
      <c r="J11" s="614">
        <v>400</v>
      </c>
      <c r="K11" s="36">
        <f>I11*J11</f>
        <v>33.33333333333333</v>
      </c>
      <c r="L11" s="6"/>
      <c r="M11" s="8"/>
      <c r="N11" s="6"/>
      <c r="O11" s="10"/>
      <c r="P11" s="6"/>
      <c r="Q11"/>
      <c r="R11"/>
    </row>
    <row r="12" spans="2:18" ht="12" customHeight="1">
      <c r="B12" s="330">
        <f>B11+1</f>
        <v>5</v>
      </c>
      <c r="C12" s="37"/>
      <c r="D12" s="31" t="s">
        <v>3</v>
      </c>
      <c r="E12" s="33"/>
      <c r="F12" s="337"/>
      <c r="G12" s="390">
        <v>0</v>
      </c>
      <c r="H12" s="336"/>
      <c r="I12" s="34"/>
      <c r="J12" s="35"/>
      <c r="K12" s="36">
        <f>I12*J12</f>
        <v>0</v>
      </c>
      <c r="L12" s="6"/>
      <c r="M12" s="8"/>
      <c r="N12" s="6"/>
      <c r="O12" s="10"/>
      <c r="P12" s="6"/>
      <c r="Q12"/>
      <c r="R12"/>
    </row>
    <row r="13" spans="2:18" ht="12" customHeight="1">
      <c r="B13" s="330">
        <f>B12+1</f>
        <v>6</v>
      </c>
      <c r="C13" s="32"/>
      <c r="D13" s="31" t="s">
        <v>3</v>
      </c>
      <c r="E13" s="38"/>
      <c r="F13" s="230"/>
      <c r="G13" s="391"/>
      <c r="H13" s="230"/>
      <c r="I13" s="39"/>
      <c r="J13" s="40"/>
      <c r="K13" s="41">
        <f>I13*J13</f>
        <v>0</v>
      </c>
      <c r="L13" s="6"/>
      <c r="M13" s="8"/>
      <c r="N13" s="6"/>
      <c r="O13" s="10"/>
      <c r="P13" s="6"/>
      <c r="Q13"/>
      <c r="R13"/>
    </row>
    <row r="14" spans="2:18" s="30" customFormat="1" ht="18.75" customHeight="1">
      <c r="B14" s="330">
        <f>B13+1</f>
        <v>7</v>
      </c>
      <c r="C14" s="356" t="s">
        <v>7</v>
      </c>
      <c r="D14" s="342"/>
      <c r="E14" s="342"/>
      <c r="G14" s="368" t="s">
        <v>8</v>
      </c>
      <c r="H14" s="369" t="s">
        <v>9</v>
      </c>
      <c r="I14" s="370" t="s">
        <v>10</v>
      </c>
      <c r="J14" s="371" t="s">
        <v>11</v>
      </c>
      <c r="K14" s="372" t="s">
        <v>12</v>
      </c>
      <c r="L14" s="6"/>
      <c r="M14" s="44">
        <f>K16+K17+K18+K19+K20</f>
        <v>305.84000000000003</v>
      </c>
      <c r="N14" s="6"/>
      <c r="O14" s="45">
        <f>M14/$I$10</f>
        <v>436.91428571428577</v>
      </c>
      <c r="P14" s="6"/>
      <c r="Q14"/>
      <c r="R14"/>
    </row>
    <row r="15" spans="2:18" s="30" customFormat="1" ht="24.75" customHeight="1">
      <c r="B15" s="357"/>
      <c r="C15" s="42"/>
      <c r="D15" s="43"/>
      <c r="E15" s="43"/>
      <c r="F15" s="5"/>
      <c r="G15" s="373" t="s">
        <v>13</v>
      </c>
      <c r="H15" s="374" t="s">
        <v>14</v>
      </c>
      <c r="I15" s="375" t="s">
        <v>15</v>
      </c>
      <c r="J15" s="376" t="s">
        <v>16</v>
      </c>
      <c r="K15" s="377" t="s">
        <v>140</v>
      </c>
      <c r="L15" s="6"/>
      <c r="M15" s="354"/>
      <c r="N15" s="6"/>
      <c r="O15" s="355"/>
      <c r="P15" s="6"/>
      <c r="Q15"/>
      <c r="R15"/>
    </row>
    <row r="16" spans="2:18" s="30" customFormat="1" ht="12" customHeight="1">
      <c r="B16" s="330">
        <f>B14+1</f>
        <v>8</v>
      </c>
      <c r="C16" s="46"/>
      <c r="D16" s="46" t="s">
        <v>3</v>
      </c>
      <c r="E16" s="47" t="s">
        <v>17</v>
      </c>
      <c r="F16" s="32"/>
      <c r="G16" s="48">
        <f>73+(135*I10)</f>
        <v>167.5</v>
      </c>
      <c r="H16" s="48">
        <v>40</v>
      </c>
      <c r="I16" s="730">
        <f>G16-(G16*H16/100)</f>
        <v>100.5</v>
      </c>
      <c r="J16" s="49">
        <v>0.8</v>
      </c>
      <c r="K16" s="50">
        <f>I16*J16</f>
        <v>80.4</v>
      </c>
      <c r="L16" s="6"/>
      <c r="M16" s="306"/>
      <c r="N16" s="6"/>
      <c r="O16" s="306"/>
      <c r="P16" s="6"/>
      <c r="Q16"/>
      <c r="R16"/>
    </row>
    <row r="17" spans="2:18" s="30" customFormat="1" ht="12" customHeight="1">
      <c r="B17" s="330">
        <f aca="true" t="shared" si="0" ref="B17:B23">B16+1</f>
        <v>9</v>
      </c>
      <c r="C17" s="46"/>
      <c r="D17" s="46" t="s">
        <v>3</v>
      </c>
      <c r="E17" s="47" t="s">
        <v>18</v>
      </c>
      <c r="F17" s="5"/>
      <c r="G17" s="48">
        <f>35+62*I10</f>
        <v>78.4</v>
      </c>
      <c r="H17" s="431"/>
      <c r="I17" s="730">
        <f>G17</f>
        <v>78.4</v>
      </c>
      <c r="J17" s="49">
        <v>0.8</v>
      </c>
      <c r="K17" s="50">
        <f>I17*J17</f>
        <v>62.720000000000006</v>
      </c>
      <c r="L17" s="6"/>
      <c r="M17" s="306"/>
      <c r="N17" s="6"/>
      <c r="O17" s="306"/>
      <c r="P17" s="6"/>
      <c r="Q17"/>
      <c r="R17"/>
    </row>
    <row r="18" spans="2:18" s="30" customFormat="1" ht="12" customHeight="1">
      <c r="B18" s="330">
        <f t="shared" si="0"/>
        <v>10</v>
      </c>
      <c r="C18" s="46"/>
      <c r="D18" s="46" t="s">
        <v>3</v>
      </c>
      <c r="E18" s="47" t="s">
        <v>19</v>
      </c>
      <c r="F18" s="32"/>
      <c r="G18" s="48">
        <f>120+216*I10</f>
        <v>271.2</v>
      </c>
      <c r="H18" s="431"/>
      <c r="I18" s="730">
        <f>G18</f>
        <v>271.2</v>
      </c>
      <c r="J18" s="49">
        <v>0.6</v>
      </c>
      <c r="K18" s="50">
        <f>I18*J18</f>
        <v>162.72</v>
      </c>
      <c r="L18" s="6"/>
      <c r="M18" s="306"/>
      <c r="N18" s="6"/>
      <c r="O18" s="306"/>
      <c r="P18" s="6"/>
      <c r="Q18"/>
      <c r="R18"/>
    </row>
    <row r="19" spans="2:18" s="30" customFormat="1" ht="12.75" customHeight="1">
      <c r="B19" s="330">
        <f t="shared" si="0"/>
        <v>11</v>
      </c>
      <c r="C19" s="46"/>
      <c r="D19" s="46" t="s">
        <v>3</v>
      </c>
      <c r="E19" s="51"/>
      <c r="F19" s="47"/>
      <c r="G19" s="48"/>
      <c r="H19" s="431"/>
      <c r="I19" s="730">
        <f>G19</f>
        <v>0</v>
      </c>
      <c r="J19" s="49"/>
      <c r="K19" s="50">
        <f>I19*J19</f>
        <v>0</v>
      </c>
      <c r="L19" s="6"/>
      <c r="M19" s="306"/>
      <c r="N19" s="6"/>
      <c r="O19" s="306"/>
      <c r="P19" s="6"/>
      <c r="Q19"/>
      <c r="R19"/>
    </row>
    <row r="20" spans="2:16" ht="12.75" customHeight="1">
      <c r="B20" s="631">
        <f t="shared" si="0"/>
        <v>12</v>
      </c>
      <c r="C20" s="59"/>
      <c r="D20" s="59" t="s">
        <v>3</v>
      </c>
      <c r="E20" s="60"/>
      <c r="F20" s="308"/>
      <c r="G20" s="729"/>
      <c r="H20" s="432"/>
      <c r="I20" s="731">
        <f>G20</f>
        <v>0</v>
      </c>
      <c r="J20" s="75"/>
      <c r="K20" s="632">
        <f>I20*J20</f>
        <v>0</v>
      </c>
      <c r="L20" s="6"/>
      <c r="M20" s="306"/>
      <c r="N20" s="6"/>
      <c r="O20" s="306"/>
      <c r="P20" s="6"/>
    </row>
    <row r="21" spans="2:15" ht="18" customHeight="1" hidden="1">
      <c r="B21" s="328">
        <f t="shared" si="0"/>
        <v>13</v>
      </c>
      <c r="C21" s="53" t="s">
        <v>20</v>
      </c>
      <c r="D21" s="53"/>
      <c r="E21" s="54"/>
      <c r="F21" s="54"/>
      <c r="G21" s="55"/>
      <c r="H21" s="22"/>
      <c r="I21" s="21"/>
      <c r="J21" s="21"/>
      <c r="K21" s="56"/>
      <c r="M21" s="306"/>
      <c r="N21" s="57"/>
      <c r="O21" s="306"/>
    </row>
    <row r="22" spans="2:15" ht="12" customHeight="1" hidden="1">
      <c r="B22" s="331">
        <f t="shared" si="0"/>
        <v>14</v>
      </c>
      <c r="C22" s="46"/>
      <c r="D22" s="46" t="s">
        <v>3</v>
      </c>
      <c r="E22" s="47" t="s">
        <v>21</v>
      </c>
      <c r="F22" s="47"/>
      <c r="G22" s="229"/>
      <c r="H22" s="617"/>
      <c r="I22" s="47"/>
      <c r="J22" s="431"/>
      <c r="K22" s="619"/>
      <c r="M22" s="306"/>
      <c r="N22" s="57"/>
      <c r="O22" s="306"/>
    </row>
    <row r="23" spans="2:15" ht="12" customHeight="1" hidden="1">
      <c r="B23" s="331">
        <f t="shared" si="0"/>
        <v>15</v>
      </c>
      <c r="C23" s="46"/>
      <c r="D23" s="46" t="s">
        <v>3</v>
      </c>
      <c r="E23" s="230" t="s">
        <v>22</v>
      </c>
      <c r="F23" s="47"/>
      <c r="G23" s="229"/>
      <c r="H23" s="617"/>
      <c r="I23" s="47"/>
      <c r="J23" s="431"/>
      <c r="K23" s="619"/>
      <c r="M23" s="306"/>
      <c r="N23" s="57"/>
      <c r="O23" s="306"/>
    </row>
    <row r="24" spans="2:15" ht="12" customHeight="1" hidden="1">
      <c r="B24" s="332">
        <f>B22+1</f>
        <v>15</v>
      </c>
      <c r="C24" s="59"/>
      <c r="D24" s="59" t="s">
        <v>3</v>
      </c>
      <c r="E24" s="618"/>
      <c r="F24" s="308"/>
      <c r="G24" s="338"/>
      <c r="H24" s="618"/>
      <c r="I24" s="308"/>
      <c r="J24" s="432"/>
      <c r="K24" s="620"/>
      <c r="M24" s="306"/>
      <c r="N24" s="57"/>
      <c r="O24" s="306"/>
    </row>
    <row r="25" spans="5:16" ht="9" customHeight="1" thickBot="1">
      <c r="E25" s="30"/>
      <c r="F25" s="8"/>
      <c r="G25" s="8"/>
      <c r="H25" s="8"/>
      <c r="I25" s="8"/>
      <c r="J25" s="30"/>
      <c r="K25" s="30"/>
      <c r="L25" s="63"/>
      <c r="N25" s="64"/>
      <c r="O25" s="57"/>
      <c r="P25" s="64"/>
    </row>
    <row r="26" spans="2:16" ht="19.5" customHeight="1" thickBot="1">
      <c r="B26" s="328">
        <f>B20+1</f>
        <v>13</v>
      </c>
      <c r="C26" s="65" t="s">
        <v>23</v>
      </c>
      <c r="D26" s="65"/>
      <c r="E26" s="65"/>
      <c r="F26" s="21"/>
      <c r="G26" s="22"/>
      <c r="H26" s="22"/>
      <c r="I26" s="22"/>
      <c r="J26" s="21"/>
      <c r="K26" s="23"/>
      <c r="L26" s="24"/>
      <c r="M26" s="66">
        <f>M9+M14</f>
        <v>6289.173333333333</v>
      </c>
      <c r="N26" s="67"/>
      <c r="O26" s="66">
        <f>O9+O14</f>
        <v>8984.533333333333</v>
      </c>
      <c r="P26" s="6"/>
    </row>
    <row r="27" spans="2:7" ht="9" customHeight="1">
      <c r="B27" s="68"/>
      <c r="C27" s="30"/>
      <c r="D27" s="30"/>
      <c r="E27" s="30"/>
      <c r="F27" s="69"/>
      <c r="G27" s="69"/>
    </row>
    <row r="28" spans="2:16" ht="18" customHeight="1">
      <c r="B28" s="333">
        <f>B26+1</f>
        <v>14</v>
      </c>
      <c r="C28" s="70" t="s">
        <v>24</v>
      </c>
      <c r="D28" s="70"/>
      <c r="E28" s="71"/>
      <c r="F28" s="72"/>
      <c r="G28" s="73"/>
      <c r="H28" s="74"/>
      <c r="I28" s="378" t="s">
        <v>198</v>
      </c>
      <c r="J28" s="379" t="s">
        <v>155</v>
      </c>
      <c r="K28" s="380" t="s">
        <v>135</v>
      </c>
      <c r="M28" s="625">
        <f>K29</f>
        <v>583.3333333333333</v>
      </c>
      <c r="N28" s="621"/>
      <c r="O28" s="628">
        <f>M28/$I$10</f>
        <v>833.3333333333333</v>
      </c>
      <c r="P28" s="6"/>
    </row>
    <row r="29" spans="2:16" ht="12" customHeight="1">
      <c r="B29" s="332">
        <f aca="true" t="shared" si="1" ref="B29:B54">B28+1</f>
        <v>15</v>
      </c>
      <c r="C29" s="59"/>
      <c r="D29" s="59"/>
      <c r="E29" s="60" t="s">
        <v>25</v>
      </c>
      <c r="F29" s="339"/>
      <c r="G29" s="340"/>
      <c r="H29" s="341"/>
      <c r="I29" s="720">
        <f>I11</f>
        <v>0.08333333333333333</v>
      </c>
      <c r="J29" s="716">
        <v>7000</v>
      </c>
      <c r="K29" s="724">
        <f>I29*J29</f>
        <v>583.3333333333333</v>
      </c>
      <c r="M29" s="8"/>
      <c r="N29" s="8"/>
      <c r="O29" s="8"/>
      <c r="P29" s="6"/>
    </row>
    <row r="30" spans="2:16" ht="18" customHeight="1">
      <c r="B30" s="331">
        <f t="shared" si="1"/>
        <v>16</v>
      </c>
      <c r="C30" s="76" t="s">
        <v>26</v>
      </c>
      <c r="D30" s="76"/>
      <c r="E30" s="47"/>
      <c r="F30" s="43"/>
      <c r="G30" s="77"/>
      <c r="H30" s="381" t="s">
        <v>27</v>
      </c>
      <c r="I30" s="382" t="s">
        <v>142</v>
      </c>
      <c r="J30" s="383" t="s">
        <v>28</v>
      </c>
      <c r="K30" s="384" t="s">
        <v>29</v>
      </c>
      <c r="M30" s="626">
        <f>J31+K31</f>
        <v>40</v>
      </c>
      <c r="N30" s="307"/>
      <c r="O30" s="628">
        <f>M30/$I$10</f>
        <v>57.142857142857146</v>
      </c>
      <c r="P30" s="6"/>
    </row>
    <row r="31" spans="2:16" ht="12" customHeight="1">
      <c r="B31" s="331">
        <f t="shared" si="1"/>
        <v>17</v>
      </c>
      <c r="C31" s="30"/>
      <c r="D31" s="30"/>
      <c r="E31" s="52" t="s">
        <v>153</v>
      </c>
      <c r="F31" s="342"/>
      <c r="G31" s="343"/>
      <c r="H31" s="78">
        <v>1.6</v>
      </c>
      <c r="I31" s="79">
        <v>25</v>
      </c>
      <c r="J31" s="322">
        <f>H31*I31</f>
        <v>40</v>
      </c>
      <c r="K31" s="80"/>
      <c r="M31" s="8"/>
      <c r="N31" s="8"/>
      <c r="O31" s="8"/>
      <c r="P31" s="6"/>
    </row>
    <row r="32" spans="2:16" ht="24">
      <c r="B32" s="333">
        <f t="shared" si="1"/>
        <v>18</v>
      </c>
      <c r="C32" s="81" t="s">
        <v>163</v>
      </c>
      <c r="D32" s="81"/>
      <c r="E32" s="82"/>
      <c r="F32" s="28"/>
      <c r="G32" s="385" t="s">
        <v>30</v>
      </c>
      <c r="H32" s="387" t="s">
        <v>31</v>
      </c>
      <c r="I32" s="386" t="s">
        <v>197</v>
      </c>
      <c r="J32" s="739" t="s">
        <v>211</v>
      </c>
      <c r="K32" s="740"/>
      <c r="M32" s="627">
        <f>K43</f>
        <v>1905</v>
      </c>
      <c r="N32" s="621"/>
      <c r="O32" s="628">
        <f>M32/$I$10</f>
        <v>2721.4285714285716</v>
      </c>
      <c r="P32" s="6"/>
    </row>
    <row r="33" spans="2:20" ht="12" customHeight="1">
      <c r="B33" s="331">
        <f t="shared" si="1"/>
        <v>19</v>
      </c>
      <c r="C33" s="633" t="s">
        <v>167</v>
      </c>
      <c r="D33" s="84"/>
      <c r="E33" s="63"/>
      <c r="F33" s="30"/>
      <c r="G33" s="83" t="s">
        <v>202</v>
      </c>
      <c r="H33" s="85" t="s">
        <v>32</v>
      </c>
      <c r="I33" s="86" t="s">
        <v>33</v>
      </c>
      <c r="J33" s="83" t="s">
        <v>203</v>
      </c>
      <c r="K33" s="388" t="s">
        <v>135</v>
      </c>
      <c r="M33" s="309"/>
      <c r="N33" s="307"/>
      <c r="O33" s="307"/>
      <c r="P33" s="6"/>
      <c r="S33"/>
      <c r="T33"/>
    </row>
    <row r="34" spans="2:20" ht="12" customHeight="1">
      <c r="B34" s="331">
        <f t="shared" si="1"/>
        <v>20</v>
      </c>
      <c r="C34" s="46"/>
      <c r="D34" s="46" t="s">
        <v>3</v>
      </c>
      <c r="E34" s="87" t="s">
        <v>34</v>
      </c>
      <c r="F34" s="87"/>
      <c r="G34" s="727">
        <v>25</v>
      </c>
      <c r="H34" s="88"/>
      <c r="I34" s="89">
        <f>G34*H34</f>
        <v>0</v>
      </c>
      <c r="J34" s="88">
        <v>18</v>
      </c>
      <c r="K34" s="90">
        <f aca="true" t="shared" si="2" ref="K34:K42">G34*J34</f>
        <v>450</v>
      </c>
      <c r="M34" s="8"/>
      <c r="N34" s="8"/>
      <c r="O34" s="8"/>
      <c r="P34" s="6"/>
      <c r="S34"/>
      <c r="T34"/>
    </row>
    <row r="35" spans="2:20" ht="12" customHeight="1">
      <c r="B35" s="331">
        <f t="shared" si="1"/>
        <v>21</v>
      </c>
      <c r="C35" s="46"/>
      <c r="D35" s="46" t="s">
        <v>3</v>
      </c>
      <c r="E35" s="51" t="s">
        <v>35</v>
      </c>
      <c r="F35" s="47"/>
      <c r="G35" s="726">
        <v>13</v>
      </c>
      <c r="H35" s="88"/>
      <c r="I35" s="89">
        <f aca="true" t="shared" si="3" ref="I35:I42">G35*H35</f>
        <v>0</v>
      </c>
      <c r="J35" s="88">
        <v>25</v>
      </c>
      <c r="K35" s="90">
        <f t="shared" si="2"/>
        <v>325</v>
      </c>
      <c r="M35" s="8"/>
      <c r="N35" s="8"/>
      <c r="O35" s="8"/>
      <c r="P35" s="6"/>
      <c r="S35"/>
      <c r="T35"/>
    </row>
    <row r="36" spans="2:20" ht="12" customHeight="1">
      <c r="B36" s="331">
        <f t="shared" si="1"/>
        <v>22</v>
      </c>
      <c r="C36" s="46"/>
      <c r="D36" s="46" t="s">
        <v>3</v>
      </c>
      <c r="E36" s="51" t="s">
        <v>164</v>
      </c>
      <c r="F36" s="47"/>
      <c r="G36" s="726">
        <v>4</v>
      </c>
      <c r="H36" s="88"/>
      <c r="I36" s="89">
        <f t="shared" si="3"/>
        <v>0</v>
      </c>
      <c r="J36" s="88">
        <v>35</v>
      </c>
      <c r="K36" s="90">
        <f t="shared" si="2"/>
        <v>140</v>
      </c>
      <c r="M36" s="8"/>
      <c r="N36" s="8"/>
      <c r="O36" s="8"/>
      <c r="P36" s="6"/>
      <c r="S36"/>
      <c r="T36"/>
    </row>
    <row r="37" spans="2:20" ht="12" customHeight="1">
      <c r="B37" s="331">
        <f t="shared" si="1"/>
        <v>23</v>
      </c>
      <c r="C37" s="46"/>
      <c r="D37" s="46" t="s">
        <v>3</v>
      </c>
      <c r="E37" s="51" t="s">
        <v>165</v>
      </c>
      <c r="F37" s="47"/>
      <c r="G37" s="726">
        <v>0.6</v>
      </c>
      <c r="H37" s="88"/>
      <c r="I37" s="89">
        <f t="shared" si="3"/>
        <v>0</v>
      </c>
      <c r="J37" s="88">
        <v>50</v>
      </c>
      <c r="K37" s="90">
        <f t="shared" si="2"/>
        <v>30</v>
      </c>
      <c r="M37" s="8"/>
      <c r="N37" s="8"/>
      <c r="O37" s="8"/>
      <c r="P37" s="6"/>
      <c r="S37"/>
      <c r="T37"/>
    </row>
    <row r="38" spans="2:20" ht="12" customHeight="1">
      <c r="B38" s="331">
        <f t="shared" si="1"/>
        <v>24</v>
      </c>
      <c r="C38" s="46"/>
      <c r="D38" s="46" t="s">
        <v>3</v>
      </c>
      <c r="E38" s="51" t="s">
        <v>166</v>
      </c>
      <c r="F38" s="47"/>
      <c r="G38" s="726">
        <v>32</v>
      </c>
      <c r="H38" s="88"/>
      <c r="I38" s="89">
        <f t="shared" si="3"/>
        <v>0</v>
      </c>
      <c r="J38" s="88">
        <v>15</v>
      </c>
      <c r="K38" s="90">
        <f t="shared" si="2"/>
        <v>480</v>
      </c>
      <c r="M38" s="8"/>
      <c r="N38" s="8"/>
      <c r="O38" s="8"/>
      <c r="P38" s="6"/>
      <c r="S38"/>
      <c r="T38"/>
    </row>
    <row r="39" spans="2:20" ht="12" customHeight="1">
      <c r="B39" s="331">
        <f t="shared" si="1"/>
        <v>25</v>
      </c>
      <c r="C39" s="46"/>
      <c r="D39" s="46" t="s">
        <v>3</v>
      </c>
      <c r="E39" s="51" t="s">
        <v>158</v>
      </c>
      <c r="F39" s="47"/>
      <c r="G39" s="726">
        <v>100</v>
      </c>
      <c r="H39" s="88"/>
      <c r="I39" s="89">
        <f t="shared" si="3"/>
        <v>0</v>
      </c>
      <c r="J39" s="91">
        <v>3</v>
      </c>
      <c r="K39" s="90">
        <f t="shared" si="2"/>
        <v>300</v>
      </c>
      <c r="M39" s="8"/>
      <c r="N39" s="8"/>
      <c r="O39" s="8"/>
      <c r="P39" s="6"/>
      <c r="S39"/>
      <c r="T39"/>
    </row>
    <row r="40" spans="2:20" ht="12" customHeight="1">
      <c r="B40" s="331">
        <f t="shared" si="1"/>
        <v>26</v>
      </c>
      <c r="C40" s="46"/>
      <c r="D40" s="46" t="s">
        <v>3</v>
      </c>
      <c r="E40" s="52"/>
      <c r="F40" s="8"/>
      <c r="G40" s="725"/>
      <c r="H40" s="88"/>
      <c r="I40" s="89">
        <f t="shared" si="3"/>
        <v>0</v>
      </c>
      <c r="J40" s="92"/>
      <c r="K40" s="90">
        <f t="shared" si="2"/>
        <v>0</v>
      </c>
      <c r="M40" s="8"/>
      <c r="N40" s="8"/>
      <c r="O40" s="8"/>
      <c r="P40" s="6"/>
      <c r="S40"/>
      <c r="T40"/>
    </row>
    <row r="41" spans="2:20" ht="12" customHeight="1">
      <c r="B41" s="331">
        <f t="shared" si="1"/>
        <v>27</v>
      </c>
      <c r="C41" s="46"/>
      <c r="D41" s="46" t="s">
        <v>3</v>
      </c>
      <c r="E41" s="38" t="s">
        <v>36</v>
      </c>
      <c r="F41" s="230"/>
      <c r="G41" s="727">
        <v>2</v>
      </c>
      <c r="H41" s="88"/>
      <c r="I41" s="89">
        <f t="shared" si="3"/>
        <v>0</v>
      </c>
      <c r="J41" s="39">
        <v>10</v>
      </c>
      <c r="K41" s="90">
        <f t="shared" si="2"/>
        <v>20</v>
      </c>
      <c r="M41" s="8"/>
      <c r="N41" s="8"/>
      <c r="O41" s="8"/>
      <c r="P41" s="6"/>
      <c r="S41"/>
      <c r="T41"/>
    </row>
    <row r="42" spans="2:20" ht="12" customHeight="1">
      <c r="B42" s="331">
        <f t="shared" si="1"/>
        <v>28</v>
      </c>
      <c r="C42" s="46"/>
      <c r="D42" s="30" t="s">
        <v>3</v>
      </c>
      <c r="E42" s="52" t="s">
        <v>37</v>
      </c>
      <c r="F42" s="8"/>
      <c r="G42" s="725">
        <v>1.6</v>
      </c>
      <c r="H42" s="78"/>
      <c r="I42" s="89">
        <f t="shared" si="3"/>
        <v>0</v>
      </c>
      <c r="J42" s="92">
        <v>100</v>
      </c>
      <c r="K42" s="90">
        <f t="shared" si="2"/>
        <v>160</v>
      </c>
      <c r="M42" s="8"/>
      <c r="N42" s="8"/>
      <c r="O42" s="8"/>
      <c r="P42" s="6"/>
      <c r="S42"/>
      <c r="T42"/>
    </row>
    <row r="43" spans="2:20" ht="12" customHeight="1">
      <c r="B43" s="328">
        <f t="shared" si="1"/>
        <v>29</v>
      </c>
      <c r="C43" s="28"/>
      <c r="D43" s="28"/>
      <c r="E43" s="93" t="s">
        <v>38</v>
      </c>
      <c r="F43" s="93"/>
      <c r="G43" s="433"/>
      <c r="H43" s="433"/>
      <c r="I43" s="94">
        <f>I34+I35+I40+I41+I42</f>
        <v>0</v>
      </c>
      <c r="J43" s="434"/>
      <c r="K43" s="95">
        <f>SUM(K34:K42)</f>
        <v>1905</v>
      </c>
      <c r="M43" s="8"/>
      <c r="N43" s="8"/>
      <c r="O43" s="8"/>
      <c r="P43" s="6"/>
      <c r="S43"/>
      <c r="T43"/>
    </row>
    <row r="44" spans="2:20" ht="18" customHeight="1">
      <c r="B44" s="331">
        <f t="shared" si="1"/>
        <v>30</v>
      </c>
      <c r="C44" s="96" t="s">
        <v>39</v>
      </c>
      <c r="D44" s="96"/>
      <c r="E44" s="26"/>
      <c r="F44" s="72"/>
      <c r="G44" s="72"/>
      <c r="H44" s="97"/>
      <c r="I44" s="435"/>
      <c r="J44" s="435"/>
      <c r="K44" s="436"/>
      <c r="L44" s="6"/>
      <c r="M44" s="627">
        <f>K45+K46+K47+K48+K49+K50+K51</f>
        <v>2720</v>
      </c>
      <c r="N44" s="622"/>
      <c r="O44" s="628">
        <f>M44/$I$10</f>
        <v>3885.714285714286</v>
      </c>
      <c r="P44" s="6"/>
      <c r="S44"/>
      <c r="T44"/>
    </row>
    <row r="45" spans="2:16" ht="12" customHeight="1">
      <c r="B45" s="331">
        <f t="shared" si="1"/>
        <v>31</v>
      </c>
      <c r="C45" s="46"/>
      <c r="D45" s="46" t="s">
        <v>3</v>
      </c>
      <c r="E45" s="5" t="s">
        <v>160</v>
      </c>
      <c r="G45" s="98"/>
      <c r="H45" s="99"/>
      <c r="I45" s="437"/>
      <c r="J45" s="437"/>
      <c r="K45" s="80">
        <v>1000</v>
      </c>
      <c r="L45" s="6"/>
      <c r="M45" s="8"/>
      <c r="N45" s="8"/>
      <c r="O45" s="8"/>
      <c r="P45" s="6"/>
    </row>
    <row r="46" spans="2:16" ht="12" customHeight="1">
      <c r="B46" s="331">
        <f t="shared" si="1"/>
        <v>32</v>
      </c>
      <c r="C46" s="46"/>
      <c r="D46" s="46" t="s">
        <v>3</v>
      </c>
      <c r="E46" s="32" t="s">
        <v>40</v>
      </c>
      <c r="F46" s="32"/>
      <c r="G46" s="100"/>
      <c r="H46" s="101"/>
      <c r="I46" s="437"/>
      <c r="J46" s="437"/>
      <c r="K46" s="102">
        <v>180</v>
      </c>
      <c r="L46" s="6"/>
      <c r="M46" s="8"/>
      <c r="N46" s="8"/>
      <c r="O46" s="8"/>
      <c r="P46" s="6"/>
    </row>
    <row r="47" spans="2:16" ht="12" customHeight="1">
      <c r="B47" s="331">
        <f t="shared" si="1"/>
        <v>33</v>
      </c>
      <c r="C47" s="46"/>
      <c r="D47" s="46" t="s">
        <v>3</v>
      </c>
      <c r="E47" s="5" t="s">
        <v>41</v>
      </c>
      <c r="G47" s="98"/>
      <c r="H47" s="99"/>
      <c r="I47" s="437"/>
      <c r="J47" s="437"/>
      <c r="K47" s="80">
        <v>570</v>
      </c>
      <c r="L47" s="6"/>
      <c r="M47" s="8"/>
      <c r="N47" s="8"/>
      <c r="O47" s="8"/>
      <c r="P47" s="6"/>
    </row>
    <row r="48" spans="2:16" ht="12" customHeight="1">
      <c r="B48" s="331">
        <f t="shared" si="1"/>
        <v>34</v>
      </c>
      <c r="C48" s="46"/>
      <c r="D48" s="46" t="s">
        <v>3</v>
      </c>
      <c r="E48" s="32" t="s">
        <v>42</v>
      </c>
      <c r="F48" s="32"/>
      <c r="G48" s="100"/>
      <c r="H48" s="101"/>
      <c r="I48" s="437"/>
      <c r="J48" s="437"/>
      <c r="K48" s="102">
        <v>160</v>
      </c>
      <c r="L48" s="6"/>
      <c r="M48" s="8"/>
      <c r="N48" s="8"/>
      <c r="O48" s="8"/>
      <c r="P48" s="6"/>
    </row>
    <row r="49" spans="2:16" ht="12" customHeight="1">
      <c r="B49" s="331">
        <f t="shared" si="1"/>
        <v>35</v>
      </c>
      <c r="C49" s="46"/>
      <c r="D49" s="46" t="s">
        <v>3</v>
      </c>
      <c r="E49" s="5" t="s">
        <v>161</v>
      </c>
      <c r="G49" s="98"/>
      <c r="H49" s="99"/>
      <c r="I49" s="437"/>
      <c r="J49" s="437"/>
      <c r="K49" s="80">
        <v>100</v>
      </c>
      <c r="L49" s="6"/>
      <c r="M49" s="8"/>
      <c r="N49" s="8"/>
      <c r="O49" s="8"/>
      <c r="P49" s="6"/>
    </row>
    <row r="50" spans="2:16" ht="12" customHeight="1">
      <c r="B50" s="331">
        <f t="shared" si="1"/>
        <v>36</v>
      </c>
      <c r="C50" s="46"/>
      <c r="D50" s="46" t="s">
        <v>3</v>
      </c>
      <c r="E50" s="32" t="s">
        <v>148</v>
      </c>
      <c r="F50" s="32"/>
      <c r="G50" s="100"/>
      <c r="H50" s="101"/>
      <c r="I50" s="437"/>
      <c r="J50" s="437"/>
      <c r="K50" s="102">
        <v>350</v>
      </c>
      <c r="L50" s="6"/>
      <c r="M50" s="8"/>
      <c r="N50" s="8"/>
      <c r="O50" s="8"/>
      <c r="P50" s="6"/>
    </row>
    <row r="51" spans="2:16" ht="12" customHeight="1">
      <c r="B51" s="331">
        <f t="shared" si="1"/>
        <v>37</v>
      </c>
      <c r="C51" s="30"/>
      <c r="D51" s="30" t="s">
        <v>3</v>
      </c>
      <c r="E51" s="60" t="s">
        <v>204</v>
      </c>
      <c r="F51" s="308"/>
      <c r="G51" s="308"/>
      <c r="H51" s="338"/>
      <c r="I51" s="438"/>
      <c r="J51" s="438"/>
      <c r="K51" s="62">
        <v>360</v>
      </c>
      <c r="L51" s="6"/>
      <c r="M51" s="8"/>
      <c r="N51" s="8"/>
      <c r="O51" s="8"/>
      <c r="P51" s="6"/>
    </row>
    <row r="52" spans="2:16" ht="18" customHeight="1">
      <c r="B52" s="328">
        <f t="shared" si="1"/>
        <v>38</v>
      </c>
      <c r="C52" s="53" t="s">
        <v>43</v>
      </c>
      <c r="D52" s="53"/>
      <c r="E52" s="54"/>
      <c r="F52" s="21"/>
      <c r="G52" s="21"/>
      <c r="H52" s="389" t="s">
        <v>44</v>
      </c>
      <c r="I52" s="103"/>
      <c r="J52" s="389" t="s">
        <v>139</v>
      </c>
      <c r="K52" s="695"/>
      <c r="M52" s="629">
        <f>I52*K52</f>
        <v>0</v>
      </c>
      <c r="N52" s="623"/>
      <c r="O52" s="628">
        <f>M52/$I$10</f>
        <v>0</v>
      </c>
      <c r="P52" s="6"/>
    </row>
    <row r="53" spans="2:16" ht="18" customHeight="1">
      <c r="B53" s="331">
        <f t="shared" si="1"/>
        <v>39</v>
      </c>
      <c r="C53" s="104" t="s">
        <v>45</v>
      </c>
      <c r="D53" s="105"/>
      <c r="E53" s="105"/>
      <c r="F53" s="580" t="s">
        <v>46</v>
      </c>
      <c r="G53" s="106">
        <v>5</v>
      </c>
      <c r="H53" s="107"/>
      <c r="I53" s="108" t="s">
        <v>47</v>
      </c>
      <c r="J53" s="109">
        <f>IF(K5=0,12,IF(K5&gt;=0,K5))</f>
        <v>36</v>
      </c>
      <c r="K53" s="110" t="s">
        <v>48</v>
      </c>
      <c r="M53" s="628">
        <f>J54*J53/12*G53/100</f>
        <v>977.25</v>
      </c>
      <c r="N53" s="624"/>
      <c r="O53" s="628">
        <f>M53/$I$10</f>
        <v>1396.0714285714287</v>
      </c>
      <c r="P53" s="6"/>
    </row>
    <row r="54" spans="2:16" ht="12" customHeight="1">
      <c r="B54" s="332">
        <f t="shared" si="1"/>
        <v>40</v>
      </c>
      <c r="C54" s="59"/>
      <c r="D54" s="111" t="s">
        <v>192</v>
      </c>
      <c r="E54" s="111"/>
      <c r="F54" s="156"/>
      <c r="G54" s="156"/>
      <c r="H54" s="111"/>
      <c r="I54" s="112"/>
      <c r="J54" s="701">
        <f>(J29+J11)/2+M30+(M32+M44)*0.6</f>
        <v>6515</v>
      </c>
      <c r="K54" s="113" t="s">
        <v>140</v>
      </c>
      <c r="M54" s="8"/>
      <c r="N54" s="8"/>
      <c r="O54" s="8"/>
      <c r="P54" s="6"/>
    </row>
    <row r="55" spans="10:15" ht="9" customHeight="1" thickBot="1">
      <c r="J55" s="8"/>
      <c r="K55" s="9"/>
      <c r="M55" s="8"/>
      <c r="N55" s="8"/>
      <c r="O55" s="10"/>
    </row>
    <row r="56" spans="2:16" ht="19.5" customHeight="1" thickBot="1">
      <c r="B56" s="328">
        <f>B54+1</f>
        <v>41</v>
      </c>
      <c r="C56" s="65" t="s">
        <v>49</v>
      </c>
      <c r="D56" s="65"/>
      <c r="E56" s="65"/>
      <c r="F56" s="21"/>
      <c r="G56" s="114"/>
      <c r="H56" s="114"/>
      <c r="I56" s="115"/>
      <c r="J56" s="301"/>
      <c r="K56" s="23"/>
      <c r="L56" s="24"/>
      <c r="M56" s="116">
        <f>M28+M30+M32+M44+M52+M53</f>
        <v>6225.583333333333</v>
      </c>
      <c r="N56" s="117">
        <f>SUM(N28:N52)</f>
        <v>0</v>
      </c>
      <c r="O56" s="116">
        <f>O28+O30+O32+O44+O52+O53</f>
        <v>8893.690476190477</v>
      </c>
      <c r="P56" s="6"/>
    </row>
    <row r="57" spans="10:15" ht="9" customHeight="1" thickBot="1">
      <c r="J57" s="8"/>
      <c r="K57" s="9"/>
      <c r="M57" s="8"/>
      <c r="N57" s="8"/>
      <c r="O57" s="10"/>
    </row>
    <row r="58" spans="2:16" ht="19.5" customHeight="1" thickBot="1" thickTop="1">
      <c r="B58" s="334">
        <f>B56+1</f>
        <v>42</v>
      </c>
      <c r="C58" s="118" t="s">
        <v>50</v>
      </c>
      <c r="D58" s="118"/>
      <c r="E58" s="252"/>
      <c r="F58" s="119"/>
      <c r="G58" s="120"/>
      <c r="H58" s="121"/>
      <c r="I58" s="122"/>
      <c r="J58" s="123"/>
      <c r="K58" s="124"/>
      <c r="L58" s="24"/>
      <c r="M58" s="599">
        <f>M26-M56</f>
        <v>63.590000000000146</v>
      </c>
      <c r="O58" s="600">
        <f>O26-O56</f>
        <v>90.84285714285579</v>
      </c>
      <c r="P58" s="6"/>
    </row>
    <row r="59" spans="2:16" ht="10.5" customHeight="1" thickTop="1">
      <c r="B59" s="125"/>
      <c r="C59" s="6"/>
      <c r="D59" s="6"/>
      <c r="E59" s="6"/>
      <c r="F59" s="126"/>
      <c r="G59" s="126"/>
      <c r="H59" s="126"/>
      <c r="I59" s="126"/>
      <c r="J59" s="126"/>
      <c r="K59" s="126"/>
      <c r="L59" s="126"/>
      <c r="M59" s="126"/>
      <c r="N59" s="126"/>
      <c r="P59" s="30"/>
    </row>
    <row r="60" spans="2:16" ht="17.25" customHeight="1">
      <c r="B60" s="335">
        <f>B58+1</f>
        <v>43</v>
      </c>
      <c r="C60" s="127" t="s">
        <v>51</v>
      </c>
      <c r="D60" s="127"/>
      <c r="E60" s="128"/>
      <c r="F60" s="129"/>
      <c r="G60" s="130"/>
      <c r="H60" s="131"/>
      <c r="I60" s="312"/>
      <c r="J60" s="129"/>
      <c r="K60" s="23" t="s">
        <v>52</v>
      </c>
      <c r="L60" s="132"/>
      <c r="M60" s="728">
        <f>IF('Seite 2'!G21&gt;0,'Seite 2'!G21,'Seite 1 '!I60)</f>
        <v>174.33333333333334</v>
      </c>
      <c r="N60" s="253"/>
      <c r="O60" s="254"/>
      <c r="P60" s="30"/>
    </row>
    <row r="61" spans="2:16" ht="9" customHeight="1">
      <c r="B61" s="439"/>
      <c r="C61" s="440"/>
      <c r="D61" s="440"/>
      <c r="E61" s="441"/>
      <c r="F61" s="442"/>
      <c r="G61" s="443"/>
      <c r="H61" s="444"/>
      <c r="I61" s="475"/>
      <c r="J61" s="442"/>
      <c r="K61" s="445"/>
      <c r="L61" s="132"/>
      <c r="M61" s="446"/>
      <c r="N61" s="447"/>
      <c r="O61" s="448"/>
      <c r="P61" s="30"/>
    </row>
    <row r="62" spans="2:16" ht="10.5" customHeight="1">
      <c r="B62" s="439"/>
      <c r="C62" s="440"/>
      <c r="D62" s="440"/>
      <c r="E62" s="441"/>
      <c r="F62" s="442"/>
      <c r="G62" s="443"/>
      <c r="H62" s="444"/>
      <c r="I62" s="475"/>
      <c r="J62" s="442"/>
      <c r="K62" s="445"/>
      <c r="L62" s="132"/>
      <c r="M62" s="744"/>
      <c r="N62" s="744"/>
      <c r="O62" s="744"/>
      <c r="P62" s="30"/>
    </row>
    <row r="63" s="1" customFormat="1" ht="6.75" customHeight="1">
      <c r="O63" s="248"/>
    </row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8.75" customHeight="1"/>
    <row r="76" s="1" customFormat="1" ht="15" customHeight="1"/>
  </sheetData>
  <sheetProtection sheet="1" objects="1" scenarios="1"/>
  <mergeCells count="3">
    <mergeCell ref="I2:O2"/>
    <mergeCell ref="M62:O62"/>
    <mergeCell ref="B5:D5"/>
  </mergeCells>
  <printOptions horizontalCentered="1"/>
  <pageMargins left="0.7480314960629921" right="0.3937007874015748" top="0.77" bottom="0.5905511811023623" header="0.3937007874015748" footer="0.3937007874015748"/>
  <pageSetup blackAndWhite="1" fitToHeight="0" fitToWidth="1" horizontalDpi="300" verticalDpi="300" orientation="portrait" paperSize="9" scale="88" r:id="rId3"/>
  <headerFooter alignWithMargins="0">
    <oddFooter>&amp;LLEL Schwäbisch Gmünd 
&amp;D&amp;C&amp;F&amp;R&amp;A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showZeros="0" workbookViewId="0" topLeftCell="A1">
      <selection activeCell="M5" sqref="M5"/>
    </sheetView>
  </sheetViews>
  <sheetFormatPr defaultColWidth="11.421875" defaultRowHeight="12.75"/>
  <cols>
    <col min="1" max="1" width="1.7109375" style="5" customWidth="1"/>
    <col min="2" max="2" width="3.28125" style="13" customWidth="1"/>
    <col min="3" max="3" width="2.8515625" style="5" customWidth="1"/>
    <col min="4" max="4" width="4.7109375" style="5" customWidth="1"/>
    <col min="5" max="5" width="12.00390625" style="5" customWidth="1"/>
    <col min="6" max="6" width="11.7109375" style="5" customWidth="1"/>
    <col min="7" max="7" width="9.57421875" style="5" customWidth="1"/>
    <col min="8" max="8" width="11.00390625" style="5" customWidth="1"/>
    <col min="9" max="9" width="11.28125" style="5" customWidth="1"/>
    <col min="10" max="10" width="12.140625" style="5" customWidth="1"/>
    <col min="11" max="11" width="11.140625" style="5" customWidth="1"/>
    <col min="12" max="12" width="2.7109375" style="5" customWidth="1"/>
    <col min="13" max="13" width="8.7109375" style="5" customWidth="1"/>
    <col min="14" max="14" width="2.7109375" style="5" customWidth="1"/>
    <col min="15" max="15" width="12.28125" style="5" customWidth="1"/>
    <col min="16" max="16" width="6.421875" style="5" hidden="1" customWidth="1"/>
    <col min="17" max="16384" width="11.421875" style="5" customWidth="1"/>
  </cols>
  <sheetData>
    <row r="1" spans="1:5" ht="9" customHeight="1">
      <c r="A1" s="3"/>
      <c r="B1" s="133"/>
      <c r="E1" s="134"/>
    </row>
    <row r="2" spans="2:16" ht="23.25">
      <c r="B2" s="363" t="s">
        <v>0</v>
      </c>
      <c r="C2" s="4"/>
      <c r="D2" s="4"/>
      <c r="H2"/>
      <c r="I2" s="746" t="str">
        <f>'Seite 1 '!I2</f>
        <v>Zuchtstute mit Jungpferdeverkauf (36 Mon. alt)</v>
      </c>
      <c r="J2" s="747"/>
      <c r="K2" s="747"/>
      <c r="L2" s="747"/>
      <c r="M2" s="747"/>
      <c r="N2" s="747"/>
      <c r="O2" s="748"/>
      <c r="P2" s="6"/>
    </row>
    <row r="3" spans="2:15" ht="15">
      <c r="B3" s="367" t="str">
        <f>'Seite 1 '!B3</f>
        <v> - Produktionsverfahren Zuchtstutenhaltung -</v>
      </c>
      <c r="H3" s="6"/>
      <c r="I3"/>
      <c r="J3"/>
      <c r="K3" s="7"/>
      <c r="L3" s="6"/>
      <c r="M3" s="12"/>
      <c r="N3" s="6"/>
      <c r="O3" s="6"/>
    </row>
    <row r="4" spans="9:15" ht="25.5" customHeight="1">
      <c r="I4"/>
      <c r="J4" s="8"/>
      <c r="K4" s="9"/>
      <c r="M4" s="8"/>
      <c r="N4" s="8"/>
      <c r="O4" s="10"/>
    </row>
    <row r="5" spans="2:15" ht="25.5" customHeight="1">
      <c r="B5" s="693" t="s">
        <v>1</v>
      </c>
      <c r="C5" s="364"/>
      <c r="D5" s="364"/>
      <c r="E5" s="365"/>
      <c r="F5" s="135">
        <f>'Seite 1 '!E5</f>
        <v>5</v>
      </c>
      <c r="G5" s="749" t="s">
        <v>184</v>
      </c>
      <c r="H5" s="750"/>
      <c r="I5" s="136">
        <f>'Seite 1 '!G5</f>
        <v>12</v>
      </c>
      <c r="J5" s="694"/>
      <c r="K5" s="694"/>
      <c r="L5" s="694"/>
      <c r="M5" s="581"/>
      <c r="N5" s="8"/>
      <c r="O5" s="581"/>
    </row>
    <row r="6" spans="2:5" ht="12.75" customHeight="1">
      <c r="B6" s="133"/>
      <c r="E6" s="134"/>
    </row>
    <row r="7" spans="2:15" ht="21" customHeight="1" hidden="1">
      <c r="B7" s="328">
        <f>'Seite 1 '!B60+1</f>
        <v>44</v>
      </c>
      <c r="C7" s="137" t="s">
        <v>53</v>
      </c>
      <c r="D7" s="21"/>
      <c r="E7" s="138"/>
      <c r="F7" s="21"/>
      <c r="G7" s="21"/>
      <c r="H7" s="139"/>
      <c r="I7" s="139"/>
      <c r="J7" s="139"/>
      <c r="K7" s="140"/>
      <c r="L7" s="141"/>
      <c r="M7" s="142" t="str">
        <f>'Seite 1 '!I32</f>
        <v>MJ DE</v>
      </c>
      <c r="N7" s="143"/>
      <c r="O7" s="144"/>
    </row>
    <row r="8" spans="2:15" ht="18" customHeight="1" hidden="1">
      <c r="B8" s="331">
        <f>B7+1</f>
        <v>45</v>
      </c>
      <c r="C8" s="145" t="s">
        <v>54</v>
      </c>
      <c r="D8" s="46"/>
      <c r="E8" s="146"/>
      <c r="F8" s="46"/>
      <c r="G8" s="46"/>
      <c r="H8" s="147"/>
      <c r="I8" s="147"/>
      <c r="J8" s="147"/>
      <c r="K8" s="148"/>
      <c r="L8" s="6"/>
      <c r="M8" s="358">
        <v>22370</v>
      </c>
      <c r="N8" s="152"/>
      <c r="O8" s="153"/>
    </row>
    <row r="9" spans="2:15" ht="18" customHeight="1" hidden="1">
      <c r="B9" s="331">
        <f>B8+1</f>
        <v>46</v>
      </c>
      <c r="C9" s="145"/>
      <c r="D9" s="46" t="s">
        <v>55</v>
      </c>
      <c r="E9" s="146"/>
      <c r="F9" s="46"/>
      <c r="G9" s="46"/>
      <c r="H9" s="147"/>
      <c r="I9" s="147"/>
      <c r="J9" s="147"/>
      <c r="K9" s="148">
        <f>K8</f>
        <v>0</v>
      </c>
      <c r="L9" s="6"/>
      <c r="M9" s="359">
        <f>'Seite 1 '!I43</f>
        <v>0</v>
      </c>
      <c r="N9" s="149"/>
      <c r="O9" s="150"/>
    </row>
    <row r="10" spans="2:16" ht="18" customHeight="1" hidden="1">
      <c r="B10" s="331">
        <f>B9+1</f>
        <v>47</v>
      </c>
      <c r="C10" s="145"/>
      <c r="D10" s="46" t="s">
        <v>56</v>
      </c>
      <c r="E10" s="146"/>
      <c r="F10" s="46"/>
      <c r="G10" s="147"/>
      <c r="H10" s="310" t="str">
        <f>IF(M8&gt;0,"(="&amp;" "&amp;ROUND(P10,0)&amp;" "&amp;M7&amp;" +","")</f>
        <v>(= 22370 MJ DE +</v>
      </c>
      <c r="I10" s="313">
        <v>13</v>
      </c>
      <c r="J10" s="151" t="s">
        <v>57</v>
      </c>
      <c r="K10" s="148"/>
      <c r="L10" s="6"/>
      <c r="M10" s="359">
        <f>P10/(100-I10)*100</f>
        <v>25712.64367816092</v>
      </c>
      <c r="N10" s="152"/>
      <c r="O10" s="153"/>
      <c r="P10" s="296">
        <f>M8-M9</f>
        <v>22370</v>
      </c>
    </row>
    <row r="11" spans="2:15" ht="18" customHeight="1" hidden="1">
      <c r="B11" s="332">
        <f>B10+1</f>
        <v>48</v>
      </c>
      <c r="C11" s="154"/>
      <c r="D11" s="155"/>
      <c r="E11" s="155" t="s">
        <v>58</v>
      </c>
      <c r="F11" s="59"/>
      <c r="G11" s="156"/>
      <c r="H11" s="157"/>
      <c r="I11" s="158"/>
      <c r="J11" s="159" t="s">
        <v>59</v>
      </c>
      <c r="K11" s="314">
        <v>0</v>
      </c>
      <c r="L11" s="6"/>
      <c r="M11" s="360">
        <f>M10*K11/365</f>
        <v>0</v>
      </c>
      <c r="N11" s="160"/>
      <c r="O11" s="161"/>
    </row>
    <row r="12" spans="2:15" ht="15.75" customHeight="1">
      <c r="B12" s="133"/>
      <c r="C12" s="162"/>
      <c r="D12" s="162"/>
      <c r="E12" s="162"/>
      <c r="O12" s="9"/>
    </row>
    <row r="13" spans="2:15" ht="21" customHeight="1">
      <c r="B13" s="333">
        <f>'Seite 1 '!B60+1</f>
        <v>44</v>
      </c>
      <c r="C13" s="455" t="s">
        <v>60</v>
      </c>
      <c r="D13" s="72"/>
      <c r="E13" s="456"/>
      <c r="F13" s="72"/>
      <c r="G13" s="72"/>
      <c r="H13" s="457" t="s">
        <v>61</v>
      </c>
      <c r="I13" s="458"/>
      <c r="J13" s="458"/>
      <c r="K13" s="458"/>
      <c r="L13" s="458"/>
      <c r="M13" s="459"/>
      <c r="N13" s="460"/>
      <c r="O13" s="461"/>
    </row>
    <row r="14" spans="2:15" ht="22.5" customHeight="1">
      <c r="B14" s="332">
        <f aca="true" t="shared" si="0" ref="B14:B21">B13+1</f>
        <v>45</v>
      </c>
      <c r="C14" s="462"/>
      <c r="D14" s="463"/>
      <c r="E14" s="463"/>
      <c r="F14" s="438"/>
      <c r="G14" s="464" t="s">
        <v>62</v>
      </c>
      <c r="H14" s="465" t="s">
        <v>158</v>
      </c>
      <c r="I14" s="465" t="s">
        <v>162</v>
      </c>
      <c r="J14" s="465">
        <v>0</v>
      </c>
      <c r="K14" s="465">
        <v>0</v>
      </c>
      <c r="L14" s="466"/>
      <c r="M14" s="467"/>
      <c r="N14" s="468" t="s">
        <v>63</v>
      </c>
      <c r="O14" s="469"/>
    </row>
    <row r="15" spans="2:15" ht="18" customHeight="1">
      <c r="B15" s="331">
        <f t="shared" si="0"/>
        <v>46</v>
      </c>
      <c r="C15" s="754" t="s">
        <v>200</v>
      </c>
      <c r="D15" s="755"/>
      <c r="E15" s="755"/>
      <c r="F15" s="756"/>
      <c r="G15" s="722">
        <v>365</v>
      </c>
      <c r="H15" s="166">
        <v>180</v>
      </c>
      <c r="I15" s="166">
        <v>185</v>
      </c>
      <c r="J15" s="166">
        <v>0</v>
      </c>
      <c r="K15" s="166">
        <v>0</v>
      </c>
      <c r="L15" s="344"/>
      <c r="M15" s="167"/>
      <c r="N15" s="168"/>
      <c r="O15" s="169">
        <f>G15-H15-I15-J15-K15-M15</f>
        <v>0</v>
      </c>
    </row>
    <row r="16" spans="2:15" ht="18" customHeight="1">
      <c r="B16" s="331">
        <f t="shared" si="0"/>
        <v>47</v>
      </c>
      <c r="C16" s="163" t="s">
        <v>171</v>
      </c>
      <c r="D16" s="151"/>
      <c r="E16" s="164"/>
      <c r="F16" s="165"/>
      <c r="G16" s="170">
        <f>IF(G15=0,0,(H15*H16+I15*I16+J15*J16+K15*K16+M15*M16+O15*O16)/G15)</f>
        <v>22.08219178082192</v>
      </c>
      <c r="H16" s="171">
        <v>16</v>
      </c>
      <c r="I16" s="171">
        <v>28</v>
      </c>
      <c r="J16" s="171">
        <v>0</v>
      </c>
      <c r="K16" s="171">
        <v>0</v>
      </c>
      <c r="L16" s="345"/>
      <c r="M16" s="172"/>
      <c r="N16" s="345"/>
      <c r="O16" s="173"/>
    </row>
    <row r="17" spans="2:16" ht="18" customHeight="1">
      <c r="B17" s="331">
        <f t="shared" si="0"/>
        <v>48</v>
      </c>
      <c r="C17" s="151" t="s">
        <v>64</v>
      </c>
      <c r="D17" s="151"/>
      <c r="E17" s="151"/>
      <c r="F17" s="174"/>
      <c r="G17" s="49">
        <v>40</v>
      </c>
      <c r="H17" s="665">
        <v>0</v>
      </c>
      <c r="I17" s="665"/>
      <c r="J17" s="665"/>
      <c r="K17" s="665"/>
      <c r="L17" s="662"/>
      <c r="M17" s="665"/>
      <c r="N17" s="175"/>
      <c r="O17" s="176">
        <f>G17</f>
        <v>40</v>
      </c>
      <c r="P17" s="295">
        <f>G17*60/365</f>
        <v>6.575342465753424</v>
      </c>
    </row>
    <row r="18" spans="2:15" ht="18" customHeight="1">
      <c r="B18" s="332">
        <f t="shared" si="0"/>
        <v>49</v>
      </c>
      <c r="C18" s="155" t="s">
        <v>65</v>
      </c>
      <c r="D18" s="155"/>
      <c r="E18" s="155"/>
      <c r="F18" s="177"/>
      <c r="G18" s="178">
        <f>G16+P17</f>
        <v>28.657534246575345</v>
      </c>
      <c r="H18" s="663">
        <f>ROUND(IF(H15=0,0,H16+(H17*60/H15)),2)</f>
        <v>16</v>
      </c>
      <c r="I18" s="663">
        <f>ROUND(IF(I15=0,0,I16+(I17*60/I15)),2)</f>
        <v>28</v>
      </c>
      <c r="J18" s="663">
        <f>ROUND(IF(J15=0,0,J16+(J17*60/J15)),2)</f>
        <v>0</v>
      </c>
      <c r="K18" s="663">
        <f>ROUND(IF(K15=0,0,K16+(K17*60/K15)),2)</f>
        <v>0</v>
      </c>
      <c r="L18" s="663"/>
      <c r="M18" s="664">
        <f>ROUND(IF(M15=0,0,M16+(M17*60/M15)),2)</f>
        <v>0</v>
      </c>
      <c r="N18" s="179"/>
      <c r="O18" s="180">
        <f>IF(O15=0,0,O16+(O17*60/O15))</f>
        <v>0</v>
      </c>
    </row>
    <row r="19" spans="2:17" ht="18" customHeight="1">
      <c r="B19" s="328">
        <f t="shared" si="0"/>
        <v>50</v>
      </c>
      <c r="C19" s="181" t="s">
        <v>66</v>
      </c>
      <c r="D19" s="181"/>
      <c r="E19" s="181"/>
      <c r="F19" s="182"/>
      <c r="G19" s="684">
        <f>(G15*G16)/60+G17</f>
        <v>174.33333333333334</v>
      </c>
      <c r="H19" s="183">
        <f>H18/60*H15</f>
        <v>48</v>
      </c>
      <c r="I19" s="184">
        <f>I18/60*I15</f>
        <v>86.33333333333333</v>
      </c>
      <c r="J19" s="184">
        <f>J18/60*J15</f>
        <v>0</v>
      </c>
      <c r="K19" s="184">
        <f>K18/60*K15</f>
        <v>0</v>
      </c>
      <c r="L19" s="184"/>
      <c r="M19" s="183">
        <f>M18/60*M15</f>
        <v>0</v>
      </c>
      <c r="N19" s="184"/>
      <c r="O19" s="185">
        <f>SUM(O15:O18)</f>
        <v>40</v>
      </c>
      <c r="P19" s="190"/>
      <c r="Q19"/>
    </row>
    <row r="20" spans="2:16" ht="18" customHeight="1">
      <c r="B20" s="333">
        <f t="shared" si="0"/>
        <v>51</v>
      </c>
      <c r="C20" s="187" t="s">
        <v>67</v>
      </c>
      <c r="D20" s="187"/>
      <c r="E20" s="187"/>
      <c r="F20" s="188"/>
      <c r="G20" s="189">
        <f>'Seite 1 '!I52</f>
        <v>0</v>
      </c>
      <c r="H20" s="665">
        <v>0</v>
      </c>
      <c r="I20" s="665"/>
      <c r="J20" s="665"/>
      <c r="K20" s="665"/>
      <c r="L20" s="662"/>
      <c r="M20" s="665"/>
      <c r="N20" s="175"/>
      <c r="O20" s="176">
        <f>G20</f>
        <v>0</v>
      </c>
      <c r="P20" s="190"/>
    </row>
    <row r="21" spans="2:17" ht="18" customHeight="1">
      <c r="B21" s="631">
        <f t="shared" si="0"/>
        <v>52</v>
      </c>
      <c r="C21" s="676" t="s">
        <v>68</v>
      </c>
      <c r="D21" s="677"/>
      <c r="E21" s="677"/>
      <c r="F21" s="678"/>
      <c r="G21" s="679">
        <f>G19-G20</f>
        <v>174.33333333333334</v>
      </c>
      <c r="H21" s="679">
        <f>H19-H20</f>
        <v>48</v>
      </c>
      <c r="I21" s="679">
        <f>I19-I20</f>
        <v>86.33333333333333</v>
      </c>
      <c r="J21" s="679">
        <f>J19-J20</f>
        <v>0</v>
      </c>
      <c r="K21" s="679">
        <f>K19-K20</f>
        <v>0</v>
      </c>
      <c r="L21" s="679"/>
      <c r="M21" s="680">
        <f>M19-M20</f>
        <v>0</v>
      </c>
      <c r="N21" s="679"/>
      <c r="O21" s="681">
        <f>O19-O20</f>
        <v>40</v>
      </c>
      <c r="P21" s="190"/>
      <c r="Q21" s="186"/>
    </row>
    <row r="22" spans="2:15" ht="12.75" customHeight="1">
      <c r="B22" s="133"/>
      <c r="C22" s="191"/>
      <c r="D22" s="162"/>
      <c r="E22" s="162"/>
      <c r="O22" s="9"/>
    </row>
    <row r="23" spans="2:15" ht="21" customHeight="1">
      <c r="B23" s="328">
        <f>B21+1</f>
        <v>53</v>
      </c>
      <c r="C23" s="192" t="s">
        <v>69</v>
      </c>
      <c r="D23" s="53"/>
      <c r="E23" s="21"/>
      <c r="F23" s="21"/>
      <c r="G23" s="21"/>
      <c r="H23" s="193" t="s">
        <v>70</v>
      </c>
      <c r="I23" s="193" t="s">
        <v>71</v>
      </c>
      <c r="J23" s="21" t="s">
        <v>72</v>
      </c>
      <c r="K23" s="21"/>
      <c r="L23" s="21"/>
      <c r="M23" s="21"/>
      <c r="N23" s="21"/>
      <c r="O23" s="194"/>
    </row>
    <row r="24" spans="2:15" ht="18" customHeight="1">
      <c r="B24" s="331">
        <f>B23+1</f>
        <v>54</v>
      </c>
      <c r="C24" s="145" t="s">
        <v>186</v>
      </c>
      <c r="D24" s="46"/>
      <c r="E24" s="46"/>
      <c r="F24" s="46"/>
      <c r="G24" s="46"/>
      <c r="H24" s="195" t="s">
        <v>187</v>
      </c>
      <c r="I24" s="195">
        <v>27</v>
      </c>
      <c r="J24" s="51"/>
      <c r="K24" s="47"/>
      <c r="L24" s="47"/>
      <c r="M24" s="47"/>
      <c r="N24" s="47"/>
      <c r="O24" s="346"/>
    </row>
    <row r="25" spans="2:15" ht="18" customHeight="1">
      <c r="B25" s="331">
        <f aca="true" t="shared" si="1" ref="B25:B31">B24+1</f>
        <v>55</v>
      </c>
      <c r="C25" s="145" t="s">
        <v>188</v>
      </c>
      <c r="D25" s="46"/>
      <c r="E25" s="46"/>
      <c r="F25" s="46"/>
      <c r="G25" s="46"/>
      <c r="H25" s="195" t="s">
        <v>73</v>
      </c>
      <c r="I25" s="291">
        <v>10</v>
      </c>
      <c r="J25" s="51">
        <v>0</v>
      </c>
      <c r="K25" s="47"/>
      <c r="L25" s="47"/>
      <c r="M25" s="47"/>
      <c r="N25" s="47"/>
      <c r="O25" s="346"/>
    </row>
    <row r="26" spans="2:15" ht="18" customHeight="1">
      <c r="B26" s="331">
        <f t="shared" si="1"/>
        <v>56</v>
      </c>
      <c r="C26" s="145" t="s">
        <v>185</v>
      </c>
      <c r="D26" s="46"/>
      <c r="E26" s="46"/>
      <c r="F26" s="46" t="s">
        <v>74</v>
      </c>
      <c r="G26" s="46"/>
      <c r="H26" s="196" t="s">
        <v>73</v>
      </c>
      <c r="I26" s="291"/>
      <c r="J26" s="51"/>
      <c r="K26" s="47"/>
      <c r="L26" s="47"/>
      <c r="M26" s="47"/>
      <c r="N26" s="47"/>
      <c r="O26" s="346"/>
    </row>
    <row r="27" spans="2:15" ht="18" customHeight="1">
      <c r="B27" s="331">
        <f t="shared" si="1"/>
        <v>57</v>
      </c>
      <c r="C27" s="145"/>
      <c r="D27" s="46"/>
      <c r="E27" s="46"/>
      <c r="F27" s="46" t="s">
        <v>75</v>
      </c>
      <c r="G27" s="46"/>
      <c r="H27" s="196" t="s">
        <v>73</v>
      </c>
      <c r="I27" s="291">
        <v>140</v>
      </c>
      <c r="J27" s="51"/>
      <c r="K27" s="47"/>
      <c r="L27" s="47"/>
      <c r="M27" s="47"/>
      <c r="N27" s="47"/>
      <c r="O27" s="346"/>
    </row>
    <row r="28" spans="2:15" ht="18" customHeight="1">
      <c r="B28" s="331">
        <f t="shared" si="1"/>
        <v>58</v>
      </c>
      <c r="C28" s="145"/>
      <c r="D28" s="46"/>
      <c r="E28" s="46"/>
      <c r="F28" s="46" t="s">
        <v>55</v>
      </c>
      <c r="G28" s="46"/>
      <c r="H28" s="195" t="s">
        <v>73</v>
      </c>
      <c r="I28" s="291"/>
      <c r="J28" s="51"/>
      <c r="K28" s="47"/>
      <c r="L28" s="47"/>
      <c r="M28" s="47"/>
      <c r="N28" s="47"/>
      <c r="O28" s="346"/>
    </row>
    <row r="29" spans="2:15" ht="18" customHeight="1">
      <c r="B29" s="331">
        <f t="shared" si="1"/>
        <v>59</v>
      </c>
      <c r="C29" s="58"/>
      <c r="D29" s="47"/>
      <c r="E29" s="47"/>
      <c r="F29" s="51" t="s">
        <v>143</v>
      </c>
      <c r="G29" s="47"/>
      <c r="H29" s="195" t="s">
        <v>73</v>
      </c>
      <c r="I29" s="291">
        <v>1.2</v>
      </c>
      <c r="J29" s="51"/>
      <c r="K29" s="47"/>
      <c r="L29" s="47"/>
      <c r="M29" s="47"/>
      <c r="N29" s="47"/>
      <c r="O29" s="346"/>
    </row>
    <row r="30" spans="2:15" ht="18" customHeight="1">
      <c r="B30" s="331">
        <f t="shared" si="1"/>
        <v>60</v>
      </c>
      <c r="C30" s="58"/>
      <c r="D30" s="47"/>
      <c r="E30" s="47"/>
      <c r="F30" s="51"/>
      <c r="G30" s="47"/>
      <c r="H30" s="195"/>
      <c r="I30" s="291"/>
      <c r="J30" s="51"/>
      <c r="K30" s="47"/>
      <c r="L30" s="47"/>
      <c r="M30" s="47"/>
      <c r="N30" s="47"/>
      <c r="O30" s="346"/>
    </row>
    <row r="31" spans="2:15" ht="18" customHeight="1">
      <c r="B31" s="332">
        <f t="shared" si="1"/>
        <v>61</v>
      </c>
      <c r="C31" s="61"/>
      <c r="D31" s="308"/>
      <c r="E31" s="308"/>
      <c r="F31" s="60"/>
      <c r="G31" s="308"/>
      <c r="H31" s="197"/>
      <c r="I31" s="292"/>
      <c r="J31" s="60"/>
      <c r="K31" s="308"/>
      <c r="L31" s="308"/>
      <c r="M31" s="308"/>
      <c r="N31" s="308"/>
      <c r="O31" s="321"/>
    </row>
    <row r="32" spans="3:15" ht="5.25" customHeight="1">
      <c r="C32" s="198"/>
      <c r="D32" s="199"/>
      <c r="O32" s="3"/>
    </row>
    <row r="33" spans="3:15" ht="5.25" customHeight="1">
      <c r="C33" s="198"/>
      <c r="D33" s="199"/>
      <c r="O33" s="3"/>
    </row>
    <row r="34" spans="3:15" ht="22.5" customHeight="1">
      <c r="C34" s="198"/>
      <c r="D34" s="199"/>
      <c r="M34" s="657" t="str">
        <f>'Seite 1 '!M7</f>
        <v>€/ Stute</v>
      </c>
      <c r="O34" s="657" t="str">
        <f>'Seite 1 '!O7</f>
        <v>€/Jungpferd</v>
      </c>
    </row>
    <row r="35" spans="3:15" ht="4.5" customHeight="1">
      <c r="C35" s="198"/>
      <c r="D35" s="199"/>
      <c r="M35" s="82"/>
      <c r="N35" s="30"/>
      <c r="O35" s="660"/>
    </row>
    <row r="36" spans="2:15" ht="4.5" customHeight="1">
      <c r="B36" s="634"/>
      <c r="C36" s="207"/>
      <c r="D36" s="207"/>
      <c r="E36" s="207"/>
      <c r="F36" s="207"/>
      <c r="G36" s="207"/>
      <c r="H36" s="207"/>
      <c r="I36" s="207"/>
      <c r="J36" s="30"/>
      <c r="K36" s="30"/>
      <c r="L36" s="30"/>
      <c r="M36" s="30"/>
      <c r="N36" s="30"/>
      <c r="O36" s="635"/>
    </row>
    <row r="37" spans="2:14" ht="2.25" customHeight="1">
      <c r="B37" s="226"/>
      <c r="C37" s="201"/>
      <c r="D37" s="201"/>
      <c r="E37" s="201"/>
      <c r="F37" s="201"/>
      <c r="G37" s="201"/>
      <c r="H37" s="201"/>
      <c r="I37" s="201"/>
      <c r="N37" s="30"/>
    </row>
    <row r="38" spans="2:15" ht="18" customHeight="1">
      <c r="B38" s="348">
        <f>B31+1</f>
        <v>62</v>
      </c>
      <c r="C38" s="238" t="s">
        <v>77</v>
      </c>
      <c r="D38" s="209"/>
      <c r="E38" s="209"/>
      <c r="F38" s="208"/>
      <c r="G38" s="208"/>
      <c r="H38" s="243"/>
      <c r="I38" s="655"/>
      <c r="J38" s="72"/>
      <c r="K38" s="656"/>
      <c r="L38" s="201"/>
      <c r="M38" s="232">
        <f>IF(F46=0,0,K45/F46)</f>
        <v>129.2</v>
      </c>
      <c r="N38" s="207"/>
      <c r="O38" s="232">
        <f>IF('Seite 1 '!I10=0,0,M38/'Seite 1 '!I10)</f>
        <v>184.57142857142856</v>
      </c>
    </row>
    <row r="39" spans="2:15" ht="18" customHeight="1">
      <c r="B39" s="392">
        <f>B38+1</f>
        <v>63</v>
      </c>
      <c r="C39" s="643" t="s">
        <v>189</v>
      </c>
      <c r="D39" s="642"/>
      <c r="E39" s="642"/>
      <c r="F39" s="696">
        <v>3</v>
      </c>
      <c r="G39" s="393" t="s">
        <v>78</v>
      </c>
      <c r="H39" s="393" t="s">
        <v>79</v>
      </c>
      <c r="I39" s="393" t="s">
        <v>80</v>
      </c>
      <c r="J39" s="393" t="s">
        <v>81</v>
      </c>
      <c r="K39" s="394" t="s">
        <v>82</v>
      </c>
      <c r="L39" s="201"/>
      <c r="M39" s="241"/>
      <c r="N39" s="240"/>
      <c r="O39" s="241"/>
    </row>
    <row r="40" spans="2:15" ht="18" customHeight="1">
      <c r="B40" s="351"/>
      <c r="C40" s="636"/>
      <c r="D40" s="637"/>
      <c r="E40" s="637"/>
      <c r="G40" s="395" t="s">
        <v>83</v>
      </c>
      <c r="H40" s="395" t="s">
        <v>138</v>
      </c>
      <c r="I40" s="396" t="s">
        <v>84</v>
      </c>
      <c r="J40" s="396" t="s">
        <v>85</v>
      </c>
      <c r="K40" s="397" t="s">
        <v>85</v>
      </c>
      <c r="L40" s="201"/>
      <c r="M40" s="241"/>
      <c r="N40" s="240"/>
      <c r="O40" s="241"/>
    </row>
    <row r="41" spans="2:15" ht="18" customHeight="1">
      <c r="B41" s="352">
        <f>B39+1</f>
        <v>64</v>
      </c>
      <c r="C41" s="210" t="s">
        <v>86</v>
      </c>
      <c r="D41" s="210"/>
      <c r="E41" s="32"/>
      <c r="F41" s="638"/>
      <c r="G41" s="211">
        <v>20</v>
      </c>
      <c r="H41" s="212">
        <v>5000</v>
      </c>
      <c r="I41" s="297">
        <f>IF(G41=0,0,100/G41+$F$39)</f>
        <v>8</v>
      </c>
      <c r="J41" s="470">
        <v>25</v>
      </c>
      <c r="K41" s="213">
        <f>H41*I41/100*J41/100</f>
        <v>100</v>
      </c>
      <c r="L41" s="201"/>
      <c r="M41" s="219"/>
      <c r="N41" s="219"/>
      <c r="O41" s="224"/>
    </row>
    <row r="42" spans="2:15" ht="18" customHeight="1">
      <c r="B42" s="352">
        <f>B41+1</f>
        <v>65</v>
      </c>
      <c r="C42" s="210" t="s">
        <v>87</v>
      </c>
      <c r="D42" s="210"/>
      <c r="E42" s="32"/>
      <c r="F42" s="638"/>
      <c r="G42" s="215">
        <v>15</v>
      </c>
      <c r="H42" s="216">
        <v>12000</v>
      </c>
      <c r="I42" s="297">
        <f>IF(G42=0,0,100/G42+$F$39)</f>
        <v>9.666666666666668</v>
      </c>
      <c r="J42" s="471">
        <v>25</v>
      </c>
      <c r="K42" s="213">
        <f>H42*I42/100*J42/100</f>
        <v>290.00000000000006</v>
      </c>
      <c r="L42" s="201"/>
      <c r="M42" s="219"/>
      <c r="N42" s="219"/>
      <c r="O42" s="224"/>
    </row>
    <row r="43" spans="2:15" ht="18" customHeight="1">
      <c r="B43" s="352">
        <f>B42+1</f>
        <v>66</v>
      </c>
      <c r="C43" s="203" t="s">
        <v>88</v>
      </c>
      <c r="D43" s="203"/>
      <c r="E43" s="32"/>
      <c r="F43" s="638"/>
      <c r="G43" s="215"/>
      <c r="H43" s="212"/>
      <c r="I43" s="297">
        <f>IF(G43=0,0,100/G43+$F$39)</f>
        <v>0</v>
      </c>
      <c r="J43" s="472"/>
      <c r="K43" s="213">
        <f>H43*I43/100*J43/100</f>
        <v>0</v>
      </c>
      <c r="L43" s="201"/>
      <c r="M43" s="219"/>
      <c r="N43" s="219"/>
      <c r="O43" s="224"/>
    </row>
    <row r="44" spans="2:15" ht="18" customHeight="1">
      <c r="B44" s="353">
        <f>B43+1</f>
        <v>67</v>
      </c>
      <c r="C44" s="204" t="s">
        <v>190</v>
      </c>
      <c r="D44" s="219"/>
      <c r="G44" s="651">
        <v>20</v>
      </c>
      <c r="H44" s="216">
        <v>40000</v>
      </c>
      <c r="I44" s="297">
        <f>IF(G44=0,0,100/G44+$F$39)</f>
        <v>8</v>
      </c>
      <c r="J44" s="473">
        <v>8</v>
      </c>
      <c r="K44" s="213">
        <f>H44*I44/100*J44/100</f>
        <v>256</v>
      </c>
      <c r="L44" s="201"/>
      <c r="M44" s="219"/>
      <c r="N44" s="219"/>
      <c r="O44" s="224"/>
    </row>
    <row r="45" spans="2:15" ht="18" customHeight="1">
      <c r="B45" s="347">
        <f>B44+1</f>
        <v>68</v>
      </c>
      <c r="C45" s="751" t="s">
        <v>89</v>
      </c>
      <c r="D45" s="752"/>
      <c r="E45" s="752"/>
      <c r="F45" s="752"/>
      <c r="G45" s="753"/>
      <c r="H45" s="250">
        <f>SUM(H41:H44)</f>
        <v>57000</v>
      </c>
      <c r="I45" s="318">
        <f>IF(J45=0,0,K45/J45*100)</f>
        <v>8.671140939597317</v>
      </c>
      <c r="J45" s="251">
        <f>H41*J41%+H42*J42%+H43*J43%+H44*J44%</f>
        <v>7450</v>
      </c>
      <c r="K45" s="235">
        <f>SUM(K41:K44)</f>
        <v>646</v>
      </c>
      <c r="L45" s="201"/>
      <c r="M45" s="224"/>
      <c r="N45" s="219"/>
      <c r="O45" s="224"/>
    </row>
    <row r="46" spans="2:15" ht="18" customHeight="1">
      <c r="B46" s="353">
        <f>B45+1</f>
        <v>69</v>
      </c>
      <c r="C46" s="640" t="s">
        <v>90</v>
      </c>
      <c r="D46" s="21"/>
      <c r="E46" s="21"/>
      <c r="F46" s="697">
        <f>IF('Seite 1 '!S5=0,'Seite 1 '!E5,'Seite 1 '!E5*'Seite 1 '!S5)</f>
        <v>5</v>
      </c>
      <c r="G46" s="654"/>
      <c r="H46" s="449"/>
      <c r="I46" s="450"/>
      <c r="J46" s="250">
        <f>IF(F46=0,0,J45/F46)</f>
        <v>1490</v>
      </c>
      <c r="K46" s="239">
        <f>IF(F46=0,0,K45/F46)</f>
        <v>129.2</v>
      </c>
      <c r="L46" s="201"/>
      <c r="M46" s="242">
        <f>IF('[1]Seite 1 '!T12=0,'[1]Seite 1 '!O12,'[1]Seite 1 '!O12*'[1]Seite 1 '!T12)</f>
        <v>0</v>
      </c>
      <c r="N46" s="219"/>
      <c r="O46" s="224"/>
    </row>
    <row r="47" spans="2:15" ht="12.75">
      <c r="B47" s="226"/>
      <c r="C47" s="201"/>
      <c r="D47" s="201"/>
      <c r="E47" s="201"/>
      <c r="F47" s="201"/>
      <c r="G47" s="201"/>
      <c r="H47" s="220"/>
      <c r="I47" s="220"/>
      <c r="L47" s="201"/>
      <c r="M47" s="201"/>
      <c r="N47" s="201"/>
      <c r="O47" s="595"/>
    </row>
    <row r="48" spans="2:15" ht="18" customHeight="1">
      <c r="B48" s="348">
        <f>B46+1</f>
        <v>70</v>
      </c>
      <c r="C48" s="238" t="s">
        <v>91</v>
      </c>
      <c r="D48" s="209"/>
      <c r="E48" s="209"/>
      <c r="F48" s="208"/>
      <c r="G48" s="208"/>
      <c r="J48" s="243"/>
      <c r="K48" s="244"/>
      <c r="L48" s="201"/>
      <c r="M48" s="232">
        <f>IF(F58=0,,K57/F58)</f>
        <v>502</v>
      </c>
      <c r="N48" s="207"/>
      <c r="O48" s="232">
        <f>IF('Seite 1 '!I10=0,0,M48/'Seite 1 '!I10)</f>
        <v>717.1428571428572</v>
      </c>
    </row>
    <row r="49" spans="2:15" ht="18" customHeight="1">
      <c r="B49" s="351">
        <f>B48+1</f>
        <v>71</v>
      </c>
      <c r="C49" s="699" t="s">
        <v>189</v>
      </c>
      <c r="D49" s="700"/>
      <c r="E49" s="638"/>
      <c r="F49" s="698">
        <f>F39</f>
        <v>3</v>
      </c>
      <c r="G49" s="393" t="s">
        <v>78</v>
      </c>
      <c r="H49" s="393" t="s">
        <v>79</v>
      </c>
      <c r="I49" s="393" t="s">
        <v>80</v>
      </c>
      <c r="J49" s="393" t="s">
        <v>81</v>
      </c>
      <c r="K49" s="394" t="s">
        <v>82</v>
      </c>
      <c r="L49" s="201"/>
      <c r="M49" s="241"/>
      <c r="N49" s="240"/>
      <c r="O49" s="241"/>
    </row>
    <row r="50" spans="2:15" ht="18" customHeight="1">
      <c r="B50" s="351">
        <f>B49+1</f>
        <v>72</v>
      </c>
      <c r="C50" s="644" t="s">
        <v>92</v>
      </c>
      <c r="D50" s="46"/>
      <c r="E50" s="645"/>
      <c r="F50" s="641">
        <v>1</v>
      </c>
      <c r="G50" s="395" t="s">
        <v>83</v>
      </c>
      <c r="H50" s="395" t="s">
        <v>138</v>
      </c>
      <c r="I50" s="396" t="s">
        <v>84</v>
      </c>
      <c r="J50" s="396" t="s">
        <v>85</v>
      </c>
      <c r="K50" s="397" t="s">
        <v>85</v>
      </c>
      <c r="L50" s="201"/>
      <c r="M50" s="241"/>
      <c r="N50" s="240"/>
      <c r="O50" s="241"/>
    </row>
    <row r="51" spans="2:15" ht="18" customHeight="1">
      <c r="B51" s="352">
        <f>B50+1</f>
        <v>73</v>
      </c>
      <c r="C51" s="646" t="s">
        <v>93</v>
      </c>
      <c r="D51" s="210"/>
      <c r="E51" s="32"/>
      <c r="F51" s="638"/>
      <c r="G51" s="211"/>
      <c r="H51" s="212"/>
      <c r="I51" s="298">
        <f aca="true" t="shared" si="2" ref="I51:I56">IF(G51=0,0,100/G51+($F$50+$F$49))</f>
        <v>0</v>
      </c>
      <c r="J51" s="470"/>
      <c r="K51" s="213">
        <f aca="true" t="shared" si="3" ref="K51:K56">H51*I51/100*J51/100</f>
        <v>0</v>
      </c>
      <c r="L51" s="201"/>
      <c r="M51" s="219"/>
      <c r="N51" s="219"/>
      <c r="O51" s="224"/>
    </row>
    <row r="52" spans="2:15" ht="18" customHeight="1">
      <c r="B52" s="352">
        <f aca="true" t="shared" si="4" ref="B52:B58">B51+1</f>
        <v>74</v>
      </c>
      <c r="C52" s="646" t="s">
        <v>94</v>
      </c>
      <c r="D52" s="210"/>
      <c r="E52" s="32"/>
      <c r="F52" s="638"/>
      <c r="G52" s="215"/>
      <c r="H52" s="216"/>
      <c r="I52" s="298">
        <f t="shared" si="2"/>
        <v>0</v>
      </c>
      <c r="J52" s="471"/>
      <c r="K52" s="213">
        <f t="shared" si="3"/>
        <v>0</v>
      </c>
      <c r="L52" s="201"/>
      <c r="M52" s="219"/>
      <c r="N52" s="219"/>
      <c r="O52" s="224"/>
    </row>
    <row r="53" spans="2:15" ht="18" customHeight="1">
      <c r="B53" s="352">
        <f t="shared" si="4"/>
        <v>75</v>
      </c>
      <c r="C53" s="646" t="s">
        <v>95</v>
      </c>
      <c r="D53" s="210"/>
      <c r="E53" s="32"/>
      <c r="F53" s="638"/>
      <c r="G53" s="249"/>
      <c r="H53" s="217"/>
      <c r="I53" s="298">
        <f t="shared" si="2"/>
        <v>0</v>
      </c>
      <c r="J53" s="474"/>
      <c r="K53" s="213">
        <f t="shared" si="3"/>
        <v>0</v>
      </c>
      <c r="L53" s="201"/>
      <c r="M53" s="219"/>
      <c r="N53" s="219"/>
      <c r="O53" s="224"/>
    </row>
    <row r="54" spans="2:15" ht="18" customHeight="1">
      <c r="B54" s="352">
        <f t="shared" si="4"/>
        <v>76</v>
      </c>
      <c r="C54" s="646" t="s">
        <v>174</v>
      </c>
      <c r="D54" s="210"/>
      <c r="E54" s="32"/>
      <c r="F54" s="638"/>
      <c r="G54" s="211">
        <v>50</v>
      </c>
      <c r="H54" s="212">
        <v>50000</v>
      </c>
      <c r="I54" s="298">
        <f t="shared" si="2"/>
        <v>6</v>
      </c>
      <c r="J54" s="470">
        <v>17</v>
      </c>
      <c r="K54" s="213">
        <f t="shared" si="3"/>
        <v>510</v>
      </c>
      <c r="L54" s="201"/>
      <c r="M54" s="219"/>
      <c r="N54" s="219"/>
      <c r="O54" s="224"/>
    </row>
    <row r="55" spans="2:15" ht="18" customHeight="1">
      <c r="B55" s="352">
        <f t="shared" si="4"/>
        <v>77</v>
      </c>
      <c r="C55" s="647" t="s">
        <v>96</v>
      </c>
      <c r="D55" s="203"/>
      <c r="E55" s="32"/>
      <c r="F55" s="638"/>
      <c r="G55" s="215">
        <v>25</v>
      </c>
      <c r="H55" s="216">
        <v>25000</v>
      </c>
      <c r="I55" s="298">
        <f t="shared" si="2"/>
        <v>8</v>
      </c>
      <c r="J55" s="471">
        <v>100</v>
      </c>
      <c r="K55" s="213">
        <f t="shared" si="3"/>
        <v>2000</v>
      </c>
      <c r="L55" s="201"/>
      <c r="M55" s="219"/>
      <c r="N55" s="219"/>
      <c r="O55" s="224"/>
    </row>
    <row r="56" spans="2:15" ht="18" customHeight="1">
      <c r="B56" s="352">
        <f t="shared" si="4"/>
        <v>78</v>
      </c>
      <c r="C56" s="648"/>
      <c r="D56" s="649"/>
      <c r="E56" s="650"/>
      <c r="F56" s="650"/>
      <c r="G56" s="651"/>
      <c r="H56" s="216"/>
      <c r="I56" s="298">
        <f t="shared" si="2"/>
        <v>0</v>
      </c>
      <c r="J56" s="471"/>
      <c r="K56" s="213">
        <f t="shared" si="3"/>
        <v>0</v>
      </c>
      <c r="L56" s="201"/>
      <c r="M56" s="219"/>
      <c r="N56" s="219"/>
      <c r="O56" s="224"/>
    </row>
    <row r="57" spans="2:15" ht="18" customHeight="1">
      <c r="B57" s="347">
        <f t="shared" si="4"/>
        <v>79</v>
      </c>
      <c r="C57" s="639" t="s">
        <v>97</v>
      </c>
      <c r="D57" s="234"/>
      <c r="E57" s="2"/>
      <c r="F57" s="21"/>
      <c r="G57" s="21"/>
      <c r="H57" s="250">
        <f>SUM(H51:H56)</f>
        <v>75000</v>
      </c>
      <c r="I57" s="280">
        <f>IF(J57=0,0,K57/J57*100)</f>
        <v>7.492537313432836</v>
      </c>
      <c r="J57" s="251">
        <f>H51*J51%+H52*J52%+H53*J53%+H54*J54%+H55*J55%+H56*J56%</f>
        <v>33500</v>
      </c>
      <c r="K57" s="235">
        <f>SUM(K51:K56)</f>
        <v>2510</v>
      </c>
      <c r="L57" s="201"/>
      <c r="M57" s="224"/>
      <c r="N57" s="219"/>
      <c r="O57" s="224"/>
    </row>
    <row r="58" spans="2:15" ht="18" customHeight="1">
      <c r="B58" s="353">
        <f t="shared" si="4"/>
        <v>80</v>
      </c>
      <c r="C58" s="640" t="s">
        <v>168</v>
      </c>
      <c r="D58" s="21"/>
      <c r="E58" s="652"/>
      <c r="F58" s="653">
        <f>F46</f>
        <v>5</v>
      </c>
      <c r="G58" s="449"/>
      <c r="H58" s="449"/>
      <c r="I58" s="661"/>
      <c r="J58" s="250">
        <f>IF(F58=0,0,J57/F58)</f>
        <v>6700</v>
      </c>
      <c r="K58" s="245">
        <f>IF(F58=0,0,K57/F58)</f>
        <v>502</v>
      </c>
      <c r="L58" s="201"/>
      <c r="M58" s="219"/>
      <c r="N58" s="219"/>
      <c r="O58" s="224"/>
    </row>
    <row r="59" spans="2:15" ht="12.75">
      <c r="B59" s="226"/>
      <c r="C59" s="201"/>
      <c r="D59" s="201"/>
      <c r="E59" s="201"/>
      <c r="F59" s="201"/>
      <c r="G59" s="201"/>
      <c r="H59" s="201"/>
      <c r="I59" s="201"/>
      <c r="L59" s="201"/>
      <c r="M59" s="201"/>
      <c r="N59" s="201"/>
      <c r="O59" s="595"/>
    </row>
    <row r="60" spans="2:15" ht="18" customHeight="1">
      <c r="B60" s="347">
        <f>B58+1</f>
        <v>81</v>
      </c>
      <c r="C60" s="221" t="s">
        <v>98</v>
      </c>
      <c r="D60" s="221"/>
      <c r="E60" s="220"/>
      <c r="F60" s="220"/>
      <c r="G60" s="222"/>
      <c r="H60" s="220"/>
      <c r="I60" s="658"/>
      <c r="J60" s="21"/>
      <c r="K60" s="194"/>
      <c r="L60" s="201"/>
      <c r="M60" s="246">
        <f>M38+M48</f>
        <v>631.2</v>
      </c>
      <c r="N60" s="231"/>
      <c r="O60" s="273">
        <f>IF('Seite 1 '!I10=0,0,M60/'Seite 1 '!I10)</f>
        <v>901.7142857142859</v>
      </c>
    </row>
  </sheetData>
  <sheetProtection sheet="1" objects="1" scenarios="1"/>
  <mergeCells count="4">
    <mergeCell ref="I2:O2"/>
    <mergeCell ref="G5:H5"/>
    <mergeCell ref="C45:G45"/>
    <mergeCell ref="C15:F15"/>
  </mergeCells>
  <printOptions horizontalCentered="1"/>
  <pageMargins left="0.5905511811023623" right="0.3937007874015748" top="0.81" bottom="0.5905511811023623" header="0.3937007874015748" footer="0.3937007874015748"/>
  <pageSetup blackAndWhite="1" fitToHeight="0" fitToWidth="1" horizontalDpi="300" verticalDpi="300" orientation="portrait" paperSize="9" scale="79" r:id="rId1"/>
  <headerFooter alignWithMargins="0">
    <oddFooter>&amp;LLEL Schwäbisch Gmünd 
&amp;D&amp;C&amp;F&amp;R&amp;A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showGridLines="0" showZeros="0" zoomScale="90" zoomScaleNormal="90" workbookViewId="0" topLeftCell="A1">
      <selection activeCell="M14" sqref="M14"/>
    </sheetView>
  </sheetViews>
  <sheetFormatPr defaultColWidth="11.421875" defaultRowHeight="12.75"/>
  <cols>
    <col min="1" max="1" width="1.7109375" style="201" customWidth="1"/>
    <col min="2" max="2" width="4.28125" style="226" customWidth="1"/>
    <col min="3" max="3" width="16.57421875" style="201" customWidth="1"/>
    <col min="4" max="4" width="9.7109375" style="201" customWidth="1"/>
    <col min="5" max="5" width="12.7109375" style="201" customWidth="1"/>
    <col min="6" max="6" width="11.00390625" style="201" customWidth="1"/>
    <col min="7" max="7" width="10.8515625" style="201" customWidth="1"/>
    <col min="8" max="8" width="23.57421875" style="201" customWidth="1"/>
    <col min="9" max="9" width="2.7109375" style="201" customWidth="1"/>
    <col min="10" max="10" width="9.7109375" style="201" customWidth="1"/>
    <col min="11" max="11" width="1.8515625" style="201" customWidth="1"/>
    <col min="12" max="12" width="12.140625" style="201" customWidth="1"/>
    <col min="13" max="16384" width="11.421875" style="201" customWidth="1"/>
  </cols>
  <sheetData>
    <row r="1" ht="9" customHeight="1">
      <c r="A1" s="247"/>
    </row>
    <row r="2" spans="2:12" ht="21" customHeight="1">
      <c r="B2" s="228" t="s">
        <v>76</v>
      </c>
      <c r="E2" s="1"/>
      <c r="F2" s="757" t="str">
        <f>'Seite 1 '!I2</f>
        <v>Zuchtstute mit Jungpferdeverkauf (36 Mon. alt)</v>
      </c>
      <c r="G2" s="758"/>
      <c r="H2" s="758"/>
      <c r="I2" s="758"/>
      <c r="J2" s="758"/>
      <c r="K2" s="758"/>
      <c r="L2" s="759"/>
    </row>
    <row r="3" spans="2:3" ht="14.25" customHeight="1">
      <c r="B3" s="454" t="str">
        <f>'Seite 1 '!B3</f>
        <v> - Produktionsverfahren Zuchtstutenhaltung -</v>
      </c>
      <c r="C3"/>
    </row>
    <row r="4" spans="2:12" ht="22.5" customHeight="1">
      <c r="B4" s="264"/>
      <c r="C4"/>
      <c r="E4" s="202"/>
      <c r="F4" s="202"/>
      <c r="G4" s="202"/>
      <c r="H4" s="202"/>
      <c r="J4" s="659" t="s">
        <v>156</v>
      </c>
      <c r="K4" s="285"/>
      <c r="L4" s="659" t="str">
        <f>'Seite 2'!O34</f>
        <v>€/Jungpferd</v>
      </c>
    </row>
    <row r="5" spans="2:12" ht="12.75">
      <c r="B5" s="264"/>
      <c r="C5"/>
      <c r="E5" s="202"/>
      <c r="F5" s="202"/>
      <c r="G5" s="202"/>
      <c r="H5" s="202"/>
      <c r="J5" s="284"/>
      <c r="K5" s="285"/>
      <c r="L5" s="284"/>
    </row>
    <row r="6" spans="2:12" ht="19.5" customHeight="1">
      <c r="B6" s="347">
        <f>'Seite 2'!B60</f>
        <v>81</v>
      </c>
      <c r="C6" s="221" t="s">
        <v>98</v>
      </c>
      <c r="D6" s="220"/>
      <c r="E6" s="220"/>
      <c r="F6" s="222"/>
      <c r="G6" s="220"/>
      <c r="H6" s="274"/>
      <c r="J6" s="265">
        <f>'Seite 2'!M60</f>
        <v>631.2</v>
      </c>
      <c r="K6" s="266"/>
      <c r="L6" s="273">
        <f>IF('Seite 1 '!I10=0,0,J6/'Seite 1 '!I10)</f>
        <v>901.7142857142859</v>
      </c>
    </row>
    <row r="7" spans="10:12" ht="8.25" customHeight="1">
      <c r="J7" s="262"/>
      <c r="K7" s="219"/>
      <c r="L7" s="587"/>
    </row>
    <row r="8" spans="10:12" ht="15" customHeight="1">
      <c r="J8" s="262"/>
      <c r="K8" s="219"/>
      <c r="L8" s="587"/>
    </row>
    <row r="9" spans="2:12" ht="24" customHeight="1">
      <c r="B9" s="348">
        <f>B6+1</f>
        <v>82</v>
      </c>
      <c r="C9" s="267" t="s">
        <v>99</v>
      </c>
      <c r="D9" s="268"/>
      <c r="E9" s="682"/>
      <c r="F9" s="398" t="s">
        <v>100</v>
      </c>
      <c r="G9" s="276" t="s">
        <v>134</v>
      </c>
      <c r="H9" s="275" t="s">
        <v>135</v>
      </c>
      <c r="J9" s="237">
        <f>H10</f>
        <v>2182</v>
      </c>
      <c r="K9" s="219"/>
      <c r="L9" s="273">
        <f>IF('Seite 1 '!I10=0,0,J9/'Seite 1 '!I10)</f>
        <v>3117.1428571428573</v>
      </c>
    </row>
    <row r="10" spans="2:12" ht="15" customHeight="1">
      <c r="B10" s="350">
        <f>B9+1</f>
        <v>83</v>
      </c>
      <c r="C10" s="214" t="s">
        <v>101</v>
      </c>
      <c r="D10" s="214"/>
      <c r="E10" s="683" t="str">
        <f>"("&amp;"Z. "&amp;'Seite 2'!B21&amp;")"</f>
        <v>(Z. 52)</v>
      </c>
      <c r="F10" s="732">
        <f>'Seite 1 '!M60</f>
        <v>174.33333333333334</v>
      </c>
      <c r="G10" s="256">
        <f>IF(H10=0,0,H10/F10)</f>
        <v>12.51625239005736</v>
      </c>
      <c r="H10" s="735">
        <f>H11+H12</f>
        <v>2182</v>
      </c>
      <c r="J10" s="219"/>
      <c r="K10" s="219"/>
      <c r="L10" s="588"/>
    </row>
    <row r="11" spans="2:12" ht="15" customHeight="1">
      <c r="B11" s="350">
        <f>B10+1</f>
        <v>84</v>
      </c>
      <c r="C11" s="214" t="s">
        <v>102</v>
      </c>
      <c r="D11" s="761" t="s">
        <v>175</v>
      </c>
      <c r="E11" s="762"/>
      <c r="F11" s="733">
        <v>30</v>
      </c>
      <c r="G11" s="257">
        <v>15</v>
      </c>
      <c r="H11" s="735">
        <f>F11*G11</f>
        <v>450</v>
      </c>
      <c r="J11" s="219"/>
      <c r="K11" s="219"/>
      <c r="L11" s="588"/>
    </row>
    <row r="12" spans="2:12" ht="15" customHeight="1">
      <c r="B12" s="349">
        <f>B11+1</f>
        <v>85</v>
      </c>
      <c r="C12" s="205" t="s">
        <v>103</v>
      </c>
      <c r="D12" s="763" t="s">
        <v>191</v>
      </c>
      <c r="E12" s="764"/>
      <c r="F12" s="734">
        <f>F10-F11</f>
        <v>144.33333333333334</v>
      </c>
      <c r="G12" s="258">
        <v>12</v>
      </c>
      <c r="H12" s="736">
        <f>F12*G12</f>
        <v>1732</v>
      </c>
      <c r="J12" s="219"/>
      <c r="K12" s="219"/>
      <c r="L12" s="588"/>
    </row>
    <row r="13" spans="10:12" ht="15" customHeight="1">
      <c r="J13" s="262"/>
      <c r="K13" s="219"/>
      <c r="L13" s="587"/>
    </row>
    <row r="14" spans="2:12" ht="18" customHeight="1">
      <c r="B14" s="348">
        <f>B12+1</f>
        <v>86</v>
      </c>
      <c r="C14" s="267" t="s">
        <v>104</v>
      </c>
      <c r="D14" s="268"/>
      <c r="E14" s="269"/>
      <c r="F14" s="270"/>
      <c r="G14" s="255"/>
      <c r="H14" s="275" t="s">
        <v>156</v>
      </c>
      <c r="J14" s="237">
        <f>H15+H16</f>
        <v>60</v>
      </c>
      <c r="K14" s="219"/>
      <c r="L14" s="273">
        <f>IF('Seite 1 '!I10=0,0,J14/'Seite 1 '!I10)</f>
        <v>85.71428571428572</v>
      </c>
    </row>
    <row r="15" spans="2:12" ht="15" customHeight="1">
      <c r="B15" s="350">
        <f>B14+1</f>
        <v>87</v>
      </c>
      <c r="C15" s="218" t="s">
        <v>176</v>
      </c>
      <c r="D15" s="326"/>
      <c r="E15" s="326"/>
      <c r="F15" s="326"/>
      <c r="G15" s="326"/>
      <c r="H15" s="259">
        <v>60</v>
      </c>
      <c r="J15" s="219"/>
      <c r="K15" s="219"/>
      <c r="L15" s="588"/>
    </row>
    <row r="16" spans="2:12" ht="15" customHeight="1">
      <c r="B16" s="349">
        <f>B15+1</f>
        <v>88</v>
      </c>
      <c r="C16" s="260"/>
      <c r="D16" s="225"/>
      <c r="E16" s="225"/>
      <c r="F16" s="225"/>
      <c r="G16" s="225"/>
      <c r="H16" s="261"/>
      <c r="J16" s="219"/>
      <c r="K16" s="271"/>
      <c r="L16" s="588"/>
    </row>
    <row r="17" spans="10:12" ht="15" customHeight="1">
      <c r="J17" s="262"/>
      <c r="K17" s="219"/>
      <c r="L17" s="587"/>
    </row>
    <row r="18" spans="2:12" ht="18" customHeight="1">
      <c r="B18" s="348">
        <f>B16+1</f>
        <v>89</v>
      </c>
      <c r="C18" s="267" t="s">
        <v>105</v>
      </c>
      <c r="D18" s="420"/>
      <c r="E18" s="421" t="s">
        <v>136</v>
      </c>
      <c r="F18" s="422"/>
      <c r="G18" s="421" t="s">
        <v>106</v>
      </c>
      <c r="H18" s="417"/>
      <c r="J18" s="237">
        <f>IF('Seite 2'!F46=0,0,E19*G19%/'Seite 2'!F46)</f>
        <v>168.00000000000003</v>
      </c>
      <c r="K18" s="219"/>
      <c r="L18" s="273">
        <f>IF('Seite 1 '!I10=0,0,J18/'Seite 1 '!I10)</f>
        <v>240.00000000000006</v>
      </c>
    </row>
    <row r="19" spans="2:12" ht="15" customHeight="1">
      <c r="B19" s="349">
        <f>B18+1</f>
        <v>90</v>
      </c>
      <c r="C19" s="451"/>
      <c r="D19" s="449"/>
      <c r="E19" s="418">
        <v>12000</v>
      </c>
      <c r="F19" s="419"/>
      <c r="G19" s="476">
        <v>7</v>
      </c>
      <c r="H19" s="325"/>
      <c r="J19" s="272"/>
      <c r="K19" s="219"/>
      <c r="L19" s="317"/>
    </row>
    <row r="20" spans="2:12" ht="15" customHeight="1">
      <c r="B20" s="227"/>
      <c r="C20" s="294"/>
      <c r="D20" s="219"/>
      <c r="E20" s="224"/>
      <c r="F20" s="224"/>
      <c r="G20" s="399"/>
      <c r="H20" s="400"/>
      <c r="J20" s="272"/>
      <c r="K20" s="219"/>
      <c r="L20" s="317"/>
    </row>
    <row r="21" spans="2:12" ht="18" customHeight="1">
      <c r="B21" s="347">
        <f>B19+1</f>
        <v>91</v>
      </c>
      <c r="C21" s="263" t="s">
        <v>107</v>
      </c>
      <c r="D21" s="220"/>
      <c r="E21" s="233"/>
      <c r="F21" s="233"/>
      <c r="G21" s="233"/>
      <c r="H21" s="667" t="str">
        <f>"(Z."&amp;B6&amp;"+Z."&amp;B9&amp;"+Z."&amp;B14&amp;"+Z."&amp;B18&amp;")"</f>
        <v>(Z.81+Z.82+Z.86+Z.89)</v>
      </c>
      <c r="I21" s="207"/>
      <c r="J21" s="273">
        <f>J6+J9+J14+J18</f>
        <v>3041.2</v>
      </c>
      <c r="K21" s="207"/>
      <c r="L21" s="273">
        <f>IF('Seite 1 '!I10=0,0,J21/'Seite 1 '!I10)</f>
        <v>4344.571428571428</v>
      </c>
    </row>
    <row r="22" spans="2:12" ht="15" customHeight="1" thickBot="1">
      <c r="B22" s="227"/>
      <c r="C22" s="361"/>
      <c r="D22" s="207"/>
      <c r="E22" s="401"/>
      <c r="F22" s="401"/>
      <c r="G22" s="401"/>
      <c r="H22" s="402"/>
      <c r="I22" s="207"/>
      <c r="J22" s="403"/>
      <c r="K22" s="207"/>
      <c r="L22" s="403"/>
    </row>
    <row r="23" spans="2:12" ht="18" customHeight="1" thickTop="1">
      <c r="B23" s="412">
        <f>B21+1</f>
        <v>92</v>
      </c>
      <c r="C23" s="413" t="s">
        <v>108</v>
      </c>
      <c r="D23" s="414"/>
      <c r="E23" s="415"/>
      <c r="F23" s="415"/>
      <c r="G23" s="415"/>
      <c r="H23" s="666" t="str">
        <f>"(Z."&amp;'Seite 1 '!B56&amp;"+Z."&amp;B21&amp;")"</f>
        <v>(Z.41+Z.91)</v>
      </c>
      <c r="I23" s="404"/>
      <c r="J23" s="480">
        <f>'Seite 1 '!M56+'Seite 3'!J21</f>
        <v>9266.783333333333</v>
      </c>
      <c r="K23" s="404"/>
      <c r="L23" s="592">
        <f>IF('Seite 1 '!I10=0,0,'Seite 3'!J23/'Seite 1 '!I10)</f>
        <v>13238.261904761905</v>
      </c>
    </row>
    <row r="24" spans="2:12" ht="18" customHeight="1">
      <c r="B24" s="409">
        <f>B23+1</f>
        <v>93</v>
      </c>
      <c r="C24" s="416" t="s">
        <v>109</v>
      </c>
      <c r="D24" s="205"/>
      <c r="E24" s="206"/>
      <c r="F24" s="206"/>
      <c r="G24" s="206"/>
      <c r="H24" s="711" t="str">
        <f>"(Z."&amp;'Seite 1 '!B11&amp;" bis Z."&amp;'Seite 1 '!B14&amp;" )"</f>
        <v>(Z.4 bis Z.7 )</v>
      </c>
      <c r="I24" s="207"/>
      <c r="J24" s="481">
        <f>'Seite 1 '!K11+'Seite 1 '!K12+'Seite 1 '!K13+'Seite 1 '!K16+'Seite 1 '!K17+'Seite 1 '!K18+'Seite 1 '!K19+'Seite 1 '!K20+'Seite 1 '!K22+'Seite 1 '!K23+'Seite 1 '!K24</f>
        <v>339.17333333333335</v>
      </c>
      <c r="K24" s="207"/>
      <c r="L24" s="593">
        <f>IF('Seite 1 '!I10=0,0,'Seite 3'!J24/'Seite 1 '!I10)</f>
        <v>484.53333333333336</v>
      </c>
    </row>
    <row r="25" spans="2:12" ht="18" customHeight="1">
      <c r="B25" s="409">
        <f>B24+1</f>
        <v>94</v>
      </c>
      <c r="C25" s="479" t="s">
        <v>144</v>
      </c>
      <c r="D25" s="205"/>
      <c r="E25" s="206"/>
      <c r="F25" s="206"/>
      <c r="G25" s="206"/>
      <c r="H25" s="685" t="str">
        <f>"(Z."&amp;B23&amp;"-Z."&amp;B24&amp;")"</f>
        <v>(Z.92-Z.93)</v>
      </c>
      <c r="I25" s="207"/>
      <c r="J25" s="712"/>
      <c r="K25" s="207"/>
      <c r="L25" s="594">
        <f>L23-L24</f>
        <v>12753.728571428572</v>
      </c>
    </row>
    <row r="26" spans="2:12" ht="15.75" customHeight="1" thickBot="1">
      <c r="B26" s="405"/>
      <c r="C26" s="207"/>
      <c r="D26" s="207"/>
      <c r="E26" s="207"/>
      <c r="F26" s="207"/>
      <c r="G26" s="207"/>
      <c r="H26" s="207"/>
      <c r="I26" s="207"/>
      <c r="J26" s="202"/>
      <c r="K26" s="219"/>
      <c r="L26" s="589"/>
    </row>
    <row r="27" spans="1:13" ht="19.5" customHeight="1" thickBot="1">
      <c r="A27" s="247"/>
      <c r="B27" s="482">
        <f>B25+1</f>
        <v>95</v>
      </c>
      <c r="C27" s="483" t="s">
        <v>145</v>
      </c>
      <c r="D27" s="484"/>
      <c r="E27" s="485"/>
      <c r="F27" s="486"/>
      <c r="G27" s="484"/>
      <c r="H27" s="668" t="str">
        <f>"(Z."&amp;'Seite 1 '!B58&amp;"-Z."&amp;B21&amp;")"</f>
        <v>(Z.42-Z.91)</v>
      </c>
      <c r="I27" s="207"/>
      <c r="J27" s="601">
        <f>'Seite 1 '!M58-'Seite 3'!J21</f>
        <v>-2977.6099999999997</v>
      </c>
      <c r="K27" s="219"/>
      <c r="L27" s="602">
        <f>IF('Seite 1 '!I10=0,0,J27/'Seite 1 '!I10)</f>
        <v>-4253.728571428571</v>
      </c>
      <c r="M27" s="595"/>
    </row>
    <row r="28" spans="2:12" ht="15" customHeight="1">
      <c r="B28" s="405"/>
      <c r="C28" s="207"/>
      <c r="D28" s="207"/>
      <c r="E28" s="207"/>
      <c r="F28" s="207"/>
      <c r="G28" s="207"/>
      <c r="H28" s="207"/>
      <c r="I28" s="207"/>
      <c r="J28" s="202"/>
      <c r="K28" s="219"/>
      <c r="L28" s="589"/>
    </row>
    <row r="29" spans="2:12" ht="22.5" customHeight="1">
      <c r="B29" s="477"/>
      <c r="C29" s="478" t="s">
        <v>110</v>
      </c>
      <c r="D29" s="207"/>
      <c r="E29" s="207"/>
      <c r="F29" s="207"/>
      <c r="G29" s="207"/>
      <c r="H29" s="207"/>
      <c r="I29" s="207"/>
      <c r="J29" s="207"/>
      <c r="K29" s="219"/>
      <c r="L29" s="589"/>
    </row>
    <row r="30" spans="2:12" ht="21" customHeight="1">
      <c r="B30" s="406">
        <f>B27+1</f>
        <v>96</v>
      </c>
      <c r="C30" s="238" t="s">
        <v>194</v>
      </c>
      <c r="D30" s="208"/>
      <c r="E30" s="299"/>
      <c r="F30" s="300"/>
      <c r="G30" s="299"/>
      <c r="H30" s="687" t="str">
        <f>"(Z."&amp;B9&amp;"+Z."&amp;B27&amp;")"</f>
        <v>(Z.82+Z.95)</v>
      </c>
      <c r="I30" s="207"/>
      <c r="J30" s="603">
        <f>J27+J9</f>
        <v>-795.6099999999997</v>
      </c>
      <c r="K30" s="279"/>
      <c r="L30" s="604">
        <f>IF('Seite 1 '!I10=0,0,J30/'Seite 1 '!I10)</f>
        <v>-1136.585714285714</v>
      </c>
    </row>
    <row r="31" spans="2:12" ht="21" customHeight="1">
      <c r="B31" s="407">
        <f aca="true" t="shared" si="0" ref="B31:B39">B30+1</f>
        <v>97</v>
      </c>
      <c r="C31" s="289"/>
      <c r="D31" s="286"/>
      <c r="E31" s="424" t="s">
        <v>111</v>
      </c>
      <c r="F31" s="423">
        <f>F10</f>
        <v>174.33333333333334</v>
      </c>
      <c r="G31" s="287"/>
      <c r="H31" s="686" t="s">
        <v>137</v>
      </c>
      <c r="I31" s="207"/>
      <c r="J31" s="607">
        <f>IF(F31=0,0,J30/F31)</f>
        <v>-4.563728489483745</v>
      </c>
      <c r="K31" s="279"/>
      <c r="L31" s="590"/>
    </row>
    <row r="32" spans="2:12" ht="21" customHeight="1">
      <c r="B32" s="406">
        <f t="shared" si="0"/>
        <v>98</v>
      </c>
      <c r="C32" s="238" t="s">
        <v>112</v>
      </c>
      <c r="D32" s="208"/>
      <c r="E32" s="208"/>
      <c r="F32" s="208"/>
      <c r="G32" s="200"/>
      <c r="H32" s="687" t="str">
        <f>"(Z."&amp;'Seite 2'!B48&amp;"+Z."&amp;B27&amp;")"</f>
        <v>(Z.70+Z.95)</v>
      </c>
      <c r="I32" s="207"/>
      <c r="J32" s="603">
        <f>J27+'Seite 2'!M48</f>
        <v>-2475.6099999999997</v>
      </c>
      <c r="K32" s="605"/>
      <c r="L32" s="604">
        <f>IF('Seite 1 '!I10=0,0,J32/'Seite 1 '!I10)</f>
        <v>-3536.585714285714</v>
      </c>
    </row>
    <row r="33" spans="2:12" ht="21" customHeight="1">
      <c r="B33" s="408">
        <f t="shared" si="0"/>
        <v>99</v>
      </c>
      <c r="C33" s="362"/>
      <c r="D33" s="362"/>
      <c r="E33" s="424" t="s">
        <v>113</v>
      </c>
      <c r="F33" s="288">
        <f>'Seite 2'!I57</f>
        <v>7.492537313432836</v>
      </c>
      <c r="G33" s="425"/>
      <c r="H33" s="426" t="s">
        <v>193</v>
      </c>
      <c r="I33" s="207"/>
      <c r="J33" s="606">
        <f>IF(F33=0,0,IF('Seite 1 '!S5=0,J32*100/F33,J32/F33*100*'Seite 1 '!S5))</f>
        <v>-33041.009960159354</v>
      </c>
      <c r="K33" s="279"/>
      <c r="L33" s="591"/>
    </row>
    <row r="34" spans="1:12" ht="21" customHeight="1">
      <c r="A34" s="247"/>
      <c r="B34" s="406">
        <f t="shared" si="0"/>
        <v>100</v>
      </c>
      <c r="C34" s="702" t="s">
        <v>195</v>
      </c>
      <c r="D34" s="420"/>
      <c r="E34" s="420"/>
      <c r="F34" s="420"/>
      <c r="G34" s="420"/>
      <c r="H34" s="687" t="str">
        <f>"(Z."&amp;'Seite 2'!B48&amp;"+Z."&amp;B9&amp;"+Z."&amp;B27&amp;")"</f>
        <v>(Z.70+Z.82+Z.95)</v>
      </c>
      <c r="I34" s="207"/>
      <c r="J34" s="603">
        <f>J27+J9+'Seite 2'!M48</f>
        <v>-293.6099999999997</v>
      </c>
      <c r="K34" s="605"/>
      <c r="L34" s="604">
        <f>IF('Seite 1 '!I10=0,0,J34/'Seite 1 '!I10)</f>
        <v>-419.4428571428567</v>
      </c>
    </row>
    <row r="35" spans="2:12" ht="21" customHeight="1" thickBot="1">
      <c r="B35" s="704">
        <f t="shared" si="0"/>
        <v>101</v>
      </c>
      <c r="C35" s="705" t="s">
        <v>114</v>
      </c>
      <c r="D35" s="705"/>
      <c r="E35" s="705"/>
      <c r="F35" s="705"/>
      <c r="G35" s="705"/>
      <c r="H35" s="706" t="s">
        <v>133</v>
      </c>
      <c r="I35" s="707"/>
      <c r="J35" s="708">
        <f>IF(F31=0,0,J34/F31)</f>
        <v>-1.68418738049713</v>
      </c>
      <c r="K35" s="709"/>
      <c r="L35" s="710"/>
    </row>
    <row r="36" spans="2:12" ht="19.5" customHeight="1" hidden="1">
      <c r="B36" s="410">
        <f t="shared" si="0"/>
        <v>102</v>
      </c>
      <c r="C36" s="703" t="e">
        <f>IF(#REF!=2," ... Gebäude und Quote",0)</f>
        <v>#REF!</v>
      </c>
      <c r="D36" s="207"/>
      <c r="E36" s="207"/>
      <c r="F36" s="207"/>
      <c r="G36" s="207"/>
      <c r="H36" s="302" t="e">
        <f>IF(#REF!=2,"(Z.120 + Z.102) ",0)</f>
        <v>#REF!</v>
      </c>
      <c r="I36" s="207"/>
      <c r="J36" s="320" t="e">
        <f>IF(#REF!=2,J27+#REF!+'Seite 3'!#REF!,0)</f>
        <v>#REF!</v>
      </c>
      <c r="K36" s="279"/>
      <c r="L36" s="411"/>
    </row>
    <row r="37" spans="2:12" ht="19.5" customHeight="1" hidden="1">
      <c r="B37" s="407">
        <f t="shared" si="0"/>
        <v>103</v>
      </c>
      <c r="C37" s="316" t="e">
        <f>IF(#REF!=2," =Verwertung der Quote bei fehlender Nutzungsalternative d. Gebäude",0)</f>
        <v>#REF!</v>
      </c>
      <c r="D37" s="207"/>
      <c r="E37" s="207"/>
      <c r="F37" s="207"/>
      <c r="G37" s="207"/>
      <c r="H37" s="302" t="e">
        <f>IF(#REF!=2,"€ / kg ",0)</f>
        <v>#REF!</v>
      </c>
      <c r="I37" s="207"/>
      <c r="J37" s="323"/>
      <c r="K37" s="279"/>
      <c r="L37" s="452" t="e">
        <f>IF('Seite 1 '!I10=0,0,J36/'Seite 1 '!I10)</f>
        <v>#REF!</v>
      </c>
    </row>
    <row r="38" spans="2:12" ht="19.5" customHeight="1" hidden="1">
      <c r="B38" s="406">
        <f t="shared" si="0"/>
        <v>104</v>
      </c>
      <c r="C38" s="428" t="e">
        <f>IF(#REF!=2," ... Gebäude, Arbeit und Quote",0)</f>
        <v>#REF!</v>
      </c>
      <c r="D38" s="208"/>
      <c r="E38" s="208"/>
      <c r="F38" s="208"/>
      <c r="G38" s="208"/>
      <c r="H38" s="427" t="e">
        <f>IF(#REF!=2,"(Z.125 + Z.104) ",0)</f>
        <v>#REF!</v>
      </c>
      <c r="I38" s="207"/>
      <c r="J38" s="236" t="e">
        <f>IF(#REF!=2,J27+J9+#REF!+'Seite 3'!#REF!,0)</f>
        <v>#REF!</v>
      </c>
      <c r="K38" s="279"/>
      <c r="L38" s="411"/>
    </row>
    <row r="39" spans="2:12" ht="19.5" customHeight="1" hidden="1" thickBot="1">
      <c r="B39" s="407">
        <f t="shared" si="0"/>
        <v>105</v>
      </c>
      <c r="C39" s="311" t="e">
        <f>IF(#REF!=2," =Verwertung der Quote bei fehl. Nutzungsalternativen f. Arbeit u. Geb.",0)</f>
        <v>#REF!</v>
      </c>
      <c r="D39" s="278"/>
      <c r="E39" s="278"/>
      <c r="F39" s="278"/>
      <c r="G39" s="278"/>
      <c r="H39" s="303" t="e">
        <f>IF(#REF!=2,"€ / kg ",0)</f>
        <v>#REF!</v>
      </c>
      <c r="I39" s="278"/>
      <c r="J39" s="324"/>
      <c r="K39" s="281"/>
      <c r="L39" s="453" t="e">
        <f>IF('Seite 1 '!I10=0,0,J38/'Seite 1 '!I10)</f>
        <v>#REF!</v>
      </c>
    </row>
    <row r="40" spans="2:12" ht="38.25" customHeight="1" thickTop="1">
      <c r="B40" s="227"/>
      <c r="C40" s="207"/>
      <c r="D40" s="207"/>
      <c r="E40" s="207"/>
      <c r="F40" s="207"/>
      <c r="G40" s="207"/>
      <c r="H40" s="282"/>
      <c r="J40" s="283"/>
      <c r="K40" s="231"/>
      <c r="L40" s="315"/>
    </row>
    <row r="41" spans="9:12" ht="9.75" customHeight="1">
      <c r="I41" s="223"/>
      <c r="J41" s="760"/>
      <c r="K41" s="760"/>
      <c r="L41" s="760"/>
    </row>
    <row r="42" spans="9:12" ht="15" customHeight="1">
      <c r="I42" s="223"/>
      <c r="K42" s="223"/>
      <c r="L42" s="247"/>
    </row>
    <row r="43" spans="9:11" ht="12.75">
      <c r="I43" s="223"/>
      <c r="K43" s="223"/>
    </row>
    <row r="44" spans="9:11" ht="12.75">
      <c r="I44" s="223"/>
      <c r="K44" s="223"/>
    </row>
    <row r="45" spans="9:11" ht="12.75">
      <c r="I45" s="223"/>
      <c r="K45" s="223"/>
    </row>
    <row r="79" spans="10:12" ht="12.75">
      <c r="J79" s="223"/>
      <c r="L79" s="223"/>
    </row>
    <row r="80" spans="10:12" ht="12.75">
      <c r="J80" s="223"/>
      <c r="L80" s="223"/>
    </row>
  </sheetData>
  <sheetProtection sheet="1" objects="1" scenarios="1"/>
  <mergeCells count="4">
    <mergeCell ref="F2:L2"/>
    <mergeCell ref="J41:L41"/>
    <mergeCell ref="D11:E11"/>
    <mergeCell ref="D12:E12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81" r:id="rId1"/>
  <headerFooter alignWithMargins="0">
    <oddFooter>&amp;LLEL Schwäbisch Gmünd
&amp;D&amp;C&amp;F&amp;R&amp;A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showZeros="0" zoomScale="75" zoomScaleNormal="75" workbookViewId="0" topLeftCell="A1">
      <selection activeCell="N7" sqref="N7"/>
    </sheetView>
  </sheetViews>
  <sheetFormatPr defaultColWidth="11.421875" defaultRowHeight="12.75"/>
  <cols>
    <col min="1" max="1" width="1.7109375" style="201" customWidth="1"/>
    <col min="2" max="2" width="3.57421875" style="201" customWidth="1"/>
    <col min="3" max="3" width="9.8515625" style="201" customWidth="1"/>
    <col min="4" max="4" width="11.7109375" style="201" customWidth="1"/>
    <col min="5" max="5" width="13.28125" style="201" customWidth="1"/>
    <col min="6" max="6" width="9.8515625" style="201" customWidth="1"/>
    <col min="7" max="7" width="32.00390625" style="201" customWidth="1"/>
    <col min="8" max="8" width="18.57421875" style="488" customWidth="1"/>
    <col min="9" max="9" width="4.28125" style="201" customWidth="1"/>
    <col min="10" max="10" width="16.28125" style="488" customWidth="1"/>
    <col min="11" max="11" width="9.8515625" style="201" customWidth="1"/>
    <col min="12" max="16384" width="11.421875" style="201" customWidth="1"/>
  </cols>
  <sheetData>
    <row r="1" ht="9" customHeight="1">
      <c r="A1" s="247"/>
    </row>
    <row r="2" spans="2:11" ht="30.75" customHeight="1">
      <c r="B2" s="489" t="s">
        <v>115</v>
      </c>
      <c r="F2" s="490"/>
      <c r="G2" s="779" t="str">
        <f>'Seite 1 '!I2</f>
        <v>Zuchtstute mit Jungpferdeverkauf (36 Mon. alt)</v>
      </c>
      <c r="H2" s="780"/>
      <c r="I2" s="780"/>
      <c r="J2" s="780"/>
      <c r="K2" s="781"/>
    </row>
    <row r="3" spans="2:11" ht="30.75" customHeight="1">
      <c r="B3" s="491" t="str">
        <f>'Seite 1 '!B3</f>
        <v> - Produktionsverfahren Zuchtstutenhaltung -</v>
      </c>
      <c r="C3" s="11"/>
      <c r="F3" s="490"/>
      <c r="G3" s="490"/>
      <c r="H3" s="492"/>
      <c r="I3" s="493"/>
      <c r="J3" s="492"/>
      <c r="K3" s="493"/>
    </row>
    <row r="4" spans="3:7" ht="16.5" customHeight="1">
      <c r="C4" s="494"/>
      <c r="F4" s="1"/>
      <c r="G4" s="495"/>
    </row>
    <row r="5" spans="2:11" ht="24" customHeight="1">
      <c r="B5" s="496"/>
      <c r="C5" s="497" t="s">
        <v>116</v>
      </c>
      <c r="D5" s="785">
        <f>'Seite 1 '!J10</f>
        <v>8500</v>
      </c>
      <c r="E5" s="786"/>
      <c r="F5" s="498" t="str">
        <f>J7</f>
        <v>€/Jungpferd</v>
      </c>
      <c r="H5" s="1"/>
      <c r="I5" s="499" t="s">
        <v>149</v>
      </c>
      <c r="J5" s="738">
        <f>'Seite 1 '!I10</f>
        <v>0.7</v>
      </c>
      <c r="K5" s="500"/>
    </row>
    <row r="6" spans="2:11" ht="27" customHeight="1" thickBot="1">
      <c r="B6" s="501"/>
      <c r="C6" s="502"/>
      <c r="E6" s="503"/>
      <c r="F6" s="504"/>
      <c r="G6" s="504"/>
      <c r="H6" s="505"/>
      <c r="I6" s="504"/>
      <c r="J6" s="505"/>
      <c r="K6" s="504"/>
    </row>
    <row r="7" spans="2:11" ht="31.5" customHeight="1">
      <c r="B7" s="506"/>
      <c r="C7" s="277"/>
      <c r="D7" s="277"/>
      <c r="E7" s="713"/>
      <c r="F7" s="277"/>
      <c r="G7" s="277"/>
      <c r="H7" s="782" t="s">
        <v>147</v>
      </c>
      <c r="I7" s="784"/>
      <c r="J7" s="782" t="str">
        <f>'Seite 1 '!O7</f>
        <v>€/Jungpferd</v>
      </c>
      <c r="K7" s="783"/>
    </row>
    <row r="8" spans="2:11" ht="31.5" customHeight="1">
      <c r="B8" s="507"/>
      <c r="C8" s="510" t="str">
        <f>'Seite 1 '!G10</f>
        <v>Jungpferd</v>
      </c>
      <c r="D8" s="509"/>
      <c r="F8" s="508"/>
      <c r="G8" s="508"/>
      <c r="H8" s="511">
        <f>'Seite 1 '!K10</f>
        <v>5950</v>
      </c>
      <c r="I8" s="207"/>
      <c r="J8" s="511">
        <f>IF('Seite 1 '!I10=0,0,H8/'Seite 1 '!$I$10)</f>
        <v>8500</v>
      </c>
      <c r="K8" s="512"/>
    </row>
    <row r="9" spans="2:11" ht="31.5" customHeight="1">
      <c r="B9" s="513"/>
      <c r="C9" s="514" t="s">
        <v>196</v>
      </c>
      <c r="D9" s="514"/>
      <c r="E9" s="514"/>
      <c r="F9" s="514"/>
      <c r="G9" s="514"/>
      <c r="H9" s="515">
        <f>'Seite 1 '!K11+'Seite 1 '!K12+'Seite 1 '!K13+'Seite 1 '!K16+'Seite 1 '!K17+'Seite 1 '!K18+'Seite 1 '!K19+'Seite 1 '!K20</f>
        <v>339.17333333333335</v>
      </c>
      <c r="I9" s="1"/>
      <c r="J9" s="583">
        <f>IF('Seite 1 '!I10=0,0,H9/'Seite 1 '!$I$10)</f>
        <v>484.53333333333336</v>
      </c>
      <c r="K9" s="512"/>
    </row>
    <row r="10" spans="2:11" ht="31.5" customHeight="1" hidden="1">
      <c r="B10" s="513"/>
      <c r="C10" s="514" t="s">
        <v>117</v>
      </c>
      <c r="D10" s="514"/>
      <c r="E10" s="514"/>
      <c r="F10" s="514"/>
      <c r="G10" s="514"/>
      <c r="H10" s="515">
        <f>'Seite 1 '!O21</f>
        <v>0</v>
      </c>
      <c r="I10" s="1"/>
      <c r="J10" s="583">
        <f>IF('Seite 1 '!I10=0,0,H10/'Seite 1 '!$I$10)</f>
        <v>0</v>
      </c>
      <c r="K10" s="512"/>
    </row>
    <row r="11" spans="1:15" ht="31.5" customHeight="1">
      <c r="A11" s="247"/>
      <c r="B11" s="516" t="s">
        <v>118</v>
      </c>
      <c r="C11" s="517"/>
      <c r="D11" s="517"/>
      <c r="E11" s="517"/>
      <c r="F11" s="517"/>
      <c r="G11" s="517"/>
      <c r="H11" s="518">
        <f>'Seite 1 '!M26</f>
        <v>6289.173333333333</v>
      </c>
      <c r="I11" s="1"/>
      <c r="J11" s="584">
        <f>IF('Seite 1 '!I10=0,0,H11/'Seite 1 '!$I$10)</f>
        <v>8984.533333333333</v>
      </c>
      <c r="K11" s="519"/>
      <c r="M11" s="595"/>
      <c r="N11" s="595"/>
      <c r="O11" s="595"/>
    </row>
    <row r="12" spans="2:11" ht="31.5" customHeight="1">
      <c r="B12" s="520"/>
      <c r="C12" s="508" t="str">
        <f>'Seite 1 '!C28</f>
        <v> Bestandsergänzung</v>
      </c>
      <c r="D12" s="508"/>
      <c r="E12" s="508"/>
      <c r="F12" s="508"/>
      <c r="G12" s="508"/>
      <c r="H12" s="515">
        <f>'Seite 1 '!M28</f>
        <v>583.3333333333333</v>
      </c>
      <c r="I12" s="293"/>
      <c r="J12" s="511">
        <f>IF('Seite 1 '!I10=0,0,H12/'Seite 1 '!$I$10)</f>
        <v>833.3333333333333</v>
      </c>
      <c r="K12" s="512"/>
    </row>
    <row r="13" spans="2:11" ht="31.5" customHeight="1">
      <c r="B13" s="521"/>
      <c r="C13" s="514" t="str">
        <f>'Seite 1 '!C30</f>
        <v> Aufzuchtkosten</v>
      </c>
      <c r="D13" s="514"/>
      <c r="E13" s="514"/>
      <c r="F13" s="514"/>
      <c r="G13" s="514"/>
      <c r="H13" s="515">
        <f>'Seite 1 '!M30</f>
        <v>40</v>
      </c>
      <c r="I13" s="1"/>
      <c r="J13" s="583">
        <f>IF('Seite 1 '!I10=0,0,H13/'Seite 1 '!$I$10)</f>
        <v>57.142857142857146</v>
      </c>
      <c r="K13" s="512"/>
    </row>
    <row r="14" spans="2:11" ht="31.5" customHeight="1">
      <c r="B14" s="521"/>
      <c r="C14" s="514" t="s">
        <v>173</v>
      </c>
      <c r="D14" s="514"/>
      <c r="E14" s="514"/>
      <c r="F14" s="514"/>
      <c r="G14" s="514"/>
      <c r="H14" s="515">
        <f>'Seite 1 '!M32</f>
        <v>1905</v>
      </c>
      <c r="I14" s="1"/>
      <c r="J14" s="583">
        <f>IF('Seite 1 '!I10=0,0,H14/'Seite 1 '!$I$10)</f>
        <v>2721.4285714285716</v>
      </c>
      <c r="K14" s="512"/>
    </row>
    <row r="15" spans="2:11" ht="31.5" customHeight="1">
      <c r="B15" s="521"/>
      <c r="C15" s="514" t="s">
        <v>151</v>
      </c>
      <c r="D15" s="514"/>
      <c r="E15" s="514"/>
      <c r="F15" s="514"/>
      <c r="G15" s="514"/>
      <c r="H15" s="515">
        <f>'Seite 1 '!M44</f>
        <v>2720</v>
      </c>
      <c r="I15" s="1"/>
      <c r="J15" s="583">
        <f>IF('Seite 1 '!I10=0,0,H15/'Seite 1 '!$I$10)</f>
        <v>3885.714285714286</v>
      </c>
      <c r="K15" s="512"/>
    </row>
    <row r="16" spans="2:11" ht="31.5" customHeight="1">
      <c r="B16" s="521"/>
      <c r="C16" s="514" t="str">
        <f>'Seite 1 '!C52</f>
        <v> Variable Lohnkosten</v>
      </c>
      <c r="D16" s="514"/>
      <c r="E16" s="514"/>
      <c r="F16" s="514"/>
      <c r="G16" s="514"/>
      <c r="H16" s="515">
        <f>'Seite 1 '!M52</f>
        <v>0</v>
      </c>
      <c r="I16" s="1"/>
      <c r="J16" s="583">
        <f>IF('Seite 1 '!I10=0,0,H16/'Seite 1 '!$I$10)</f>
        <v>0</v>
      </c>
      <c r="K16" s="512"/>
    </row>
    <row r="17" spans="2:11" ht="31.5" customHeight="1">
      <c r="B17" s="521"/>
      <c r="C17" s="514" t="str">
        <f>'Seite 1 '!C53</f>
        <v> Zinsansatz</v>
      </c>
      <c r="D17" s="514"/>
      <c r="E17" s="514"/>
      <c r="F17" s="514"/>
      <c r="G17" s="514"/>
      <c r="H17" s="515">
        <f>'Seite 1 '!M53</f>
        <v>977.25</v>
      </c>
      <c r="I17" s="1"/>
      <c r="J17" s="583">
        <f>IF('Seite 1 '!I10=0,0,H17/'Seite 1 '!$I$10)</f>
        <v>1396.0714285714287</v>
      </c>
      <c r="K17" s="512"/>
    </row>
    <row r="18" spans="2:15" ht="37.5" customHeight="1" thickBot="1">
      <c r="B18" s="522" t="s">
        <v>119</v>
      </c>
      <c r="C18" s="205"/>
      <c r="D18" s="517"/>
      <c r="E18" s="517"/>
      <c r="F18" s="517"/>
      <c r="G18" s="517"/>
      <c r="H18" s="523">
        <f>SUM(H12:H17)</f>
        <v>6225.583333333333</v>
      </c>
      <c r="I18" s="1"/>
      <c r="J18" s="585">
        <f>IF('Seite 1 '!I10=0,0,H18/'Seite 1 '!$I$10)</f>
        <v>8893.690476190477</v>
      </c>
      <c r="K18" s="512"/>
      <c r="M18" s="595"/>
      <c r="N18" s="595"/>
      <c r="O18" s="595"/>
    </row>
    <row r="19" spans="1:15" ht="49.5" customHeight="1" thickBot="1">
      <c r="A19" s="247"/>
      <c r="B19" s="524" t="s">
        <v>157</v>
      </c>
      <c r="C19" s="525"/>
      <c r="D19" s="525"/>
      <c r="E19" s="525"/>
      <c r="F19" s="525"/>
      <c r="G19" s="525"/>
      <c r="H19" s="608">
        <f>'Seite 1 '!M58</f>
        <v>63.590000000000146</v>
      </c>
      <c r="I19" s="609"/>
      <c r="J19" s="610">
        <f>IF('Seite 1 '!I10=0,0,H19/'Seite 1 '!$I$10)</f>
        <v>90.84285714285735</v>
      </c>
      <c r="K19" s="526"/>
      <c r="M19" s="595"/>
      <c r="N19" s="595"/>
      <c r="O19" s="595"/>
    </row>
    <row r="20" spans="2:11" ht="28.5" customHeight="1">
      <c r="B20" s="527"/>
      <c r="C20" s="514" t="s">
        <v>120</v>
      </c>
      <c r="D20" s="514"/>
      <c r="E20" s="514"/>
      <c r="F20" s="514"/>
      <c r="G20" s="514"/>
      <c r="H20" s="515">
        <f>'Seite 2'!K46</f>
        <v>129.2</v>
      </c>
      <c r="I20" s="1"/>
      <c r="J20" s="583">
        <f>IF('Seite 1 '!I10=0,0,H20/'Seite 1 '!$I$10)</f>
        <v>184.57142857142856</v>
      </c>
      <c r="K20" s="512"/>
    </row>
    <row r="21" spans="2:11" ht="31.5" customHeight="1">
      <c r="B21" s="527"/>
      <c r="C21" s="514" t="s">
        <v>121</v>
      </c>
      <c r="D21" s="514"/>
      <c r="E21" s="514"/>
      <c r="F21" s="514"/>
      <c r="G21" s="514"/>
      <c r="H21" s="515">
        <f>'Seite 2'!K58</f>
        <v>502</v>
      </c>
      <c r="I21" s="1"/>
      <c r="J21" s="583">
        <f>IF('Seite 1 '!I10=0,0,H21/'Seite 1 '!$I$10)</f>
        <v>717.1428571428572</v>
      </c>
      <c r="K21" s="512"/>
    </row>
    <row r="22" spans="2:11" ht="31.5" customHeight="1">
      <c r="B22" s="527"/>
      <c r="C22" s="514" t="s">
        <v>182</v>
      </c>
      <c r="D22" s="514"/>
      <c r="E22" s="514"/>
      <c r="F22" s="514"/>
      <c r="G22" s="514"/>
      <c r="H22" s="515">
        <f>'Seite 3'!J9</f>
        <v>2182</v>
      </c>
      <c r="I22" s="1"/>
      <c r="J22" s="583">
        <f>IF('Seite 1 '!I10=0,0,H22/'Seite 1 '!$I$10)</f>
        <v>3117.1428571428573</v>
      </c>
      <c r="K22" s="512"/>
    </row>
    <row r="23" spans="2:13" ht="31.5" customHeight="1">
      <c r="B23" s="527"/>
      <c r="C23" s="514" t="s">
        <v>122</v>
      </c>
      <c r="D23" s="514"/>
      <c r="E23" s="514"/>
      <c r="F23" s="514"/>
      <c r="G23" s="514"/>
      <c r="H23" s="515">
        <f>'Seite 3'!J14+'Seite 3'!J18</f>
        <v>228.00000000000003</v>
      </c>
      <c r="I23" s="1"/>
      <c r="J23" s="583">
        <f>IF('Seite 1 '!I10=0,0,H23/'Seite 1 '!$I$10)</f>
        <v>325.7142857142858</v>
      </c>
      <c r="K23" s="512"/>
      <c r="M23" s="495"/>
    </row>
    <row r="24" spans="1:15" ht="41.25" customHeight="1" thickBot="1">
      <c r="A24" s="247"/>
      <c r="B24" s="529" t="s">
        <v>123</v>
      </c>
      <c r="C24" s="278"/>
      <c r="D24" s="530"/>
      <c r="E24" s="530"/>
      <c r="F24" s="530"/>
      <c r="G24" s="530"/>
      <c r="H24" s="531">
        <f>SUM(H20:H23)</f>
        <v>3041.2</v>
      </c>
      <c r="I24" s="530"/>
      <c r="J24" s="586">
        <f>IF('Seite 1 '!I10=0,0,H24/'Seite 1 '!$I$10)</f>
        <v>4344.571428571428</v>
      </c>
      <c r="K24" s="532"/>
      <c r="O24" s="262"/>
    </row>
    <row r="25" spans="1:15" ht="11.25" customHeight="1" thickBot="1">
      <c r="A25" s="247"/>
      <c r="B25" s="563"/>
      <c r="C25" s="207"/>
      <c r="D25" s="514"/>
      <c r="E25" s="514"/>
      <c r="F25" s="514"/>
      <c r="G25" s="514"/>
      <c r="H25" s="672"/>
      <c r="I25" s="671"/>
      <c r="J25" s="669"/>
      <c r="K25" s="207"/>
      <c r="O25" s="262"/>
    </row>
    <row r="26" spans="1:15" ht="41.25" customHeight="1" thickBot="1">
      <c r="A26" s="247"/>
      <c r="B26" s="670" t="s">
        <v>172</v>
      </c>
      <c r="C26" s="484"/>
      <c r="D26" s="671"/>
      <c r="E26" s="671"/>
      <c r="F26" s="671"/>
      <c r="G26" s="671"/>
      <c r="H26" s="531">
        <f>H18+H24</f>
        <v>9266.783333333333</v>
      </c>
      <c r="I26" s="675"/>
      <c r="J26" s="673">
        <f>J18+J24</f>
        <v>13238.261904761905</v>
      </c>
      <c r="K26" s="674"/>
      <c r="O26" s="262"/>
    </row>
    <row r="27" spans="2:11" ht="27" customHeight="1" thickBot="1">
      <c r="B27" s="514"/>
      <c r="C27" s="514"/>
      <c r="D27" s="514"/>
      <c r="E27" s="514"/>
      <c r="F27" s="514"/>
      <c r="G27" s="514"/>
      <c r="H27" s="533"/>
      <c r="I27" s="207"/>
      <c r="J27" s="399"/>
      <c r="K27" s="207"/>
    </row>
    <row r="28" spans="2:13" ht="54" customHeight="1">
      <c r="B28" s="765" t="s">
        <v>212</v>
      </c>
      <c r="C28" s="766"/>
      <c r="D28" s="766"/>
      <c r="E28" s="766"/>
      <c r="F28" s="767"/>
      <c r="G28" s="689" t="s">
        <v>177</v>
      </c>
      <c r="H28" s="690">
        <f>H11-H26</f>
        <v>-2977.6099999999997</v>
      </c>
      <c r="I28" s="691"/>
      <c r="J28" s="771">
        <f>IF('Seite 1 '!I10=0,0,H28/'Seite 1 '!$I$10)</f>
        <v>-4253.728571428571</v>
      </c>
      <c r="K28" s="772"/>
      <c r="M28" s="595"/>
    </row>
    <row r="29" spans="2:11" ht="44.25" customHeight="1" thickBot="1">
      <c r="B29" s="768"/>
      <c r="C29" s="769"/>
      <c r="D29" s="769"/>
      <c r="E29" s="769"/>
      <c r="F29" s="770"/>
      <c r="G29" s="688" t="s">
        <v>178</v>
      </c>
      <c r="H29" s="611">
        <f>H28+H22</f>
        <v>-795.6099999999997</v>
      </c>
      <c r="I29" s="612"/>
      <c r="J29" s="773">
        <f>J28+J22</f>
        <v>-1136.5857142857135</v>
      </c>
      <c r="K29" s="774"/>
    </row>
    <row r="30" spans="2:11" ht="18.75" customHeight="1" thickBot="1">
      <c r="B30" s="1"/>
      <c r="C30" s="1"/>
      <c r="D30" s="1"/>
      <c r="E30" s="1"/>
      <c r="F30" s="1"/>
      <c r="G30" s="1"/>
      <c r="H30" s="1"/>
      <c r="I30" s="1"/>
      <c r="J30" s="1"/>
      <c r="K30" s="248"/>
    </row>
    <row r="31" spans="2:11" ht="51.75" customHeight="1">
      <c r="B31" s="765" t="s">
        <v>152</v>
      </c>
      <c r="C31" s="766"/>
      <c r="D31" s="766"/>
      <c r="E31" s="766"/>
      <c r="F31" s="767"/>
      <c r="G31" s="689" t="s">
        <v>177</v>
      </c>
      <c r="H31" s="714"/>
      <c r="I31" s="714"/>
      <c r="J31" s="775">
        <f>J26-J9</f>
        <v>12753.728571428572</v>
      </c>
      <c r="K31" s="776"/>
    </row>
    <row r="32" spans="2:11" ht="48" customHeight="1" thickBot="1">
      <c r="B32" s="768"/>
      <c r="C32" s="769"/>
      <c r="D32" s="769"/>
      <c r="E32" s="769"/>
      <c r="F32" s="770"/>
      <c r="G32" s="688" t="s">
        <v>178</v>
      </c>
      <c r="H32" s="715"/>
      <c r="I32" s="715"/>
      <c r="J32" s="777">
        <f>J31-J22</f>
        <v>9636.585714285715</v>
      </c>
      <c r="K32" s="778"/>
    </row>
    <row r="33" spans="2:7" ht="25.5">
      <c r="B33" s="487"/>
      <c r="C33" s="487"/>
      <c r="D33" s="487"/>
      <c r="E33" s="487"/>
      <c r="F33" s="487"/>
      <c r="G33" s="487"/>
    </row>
    <row r="34" spans="2:7" ht="25.5">
      <c r="B34" s="487"/>
      <c r="C34" s="487"/>
      <c r="D34" s="487"/>
      <c r="E34" s="487"/>
      <c r="F34" s="487"/>
      <c r="G34" s="487"/>
    </row>
    <row r="35" spans="2:7" ht="25.5">
      <c r="B35" s="487"/>
      <c r="C35" s="487"/>
      <c r="D35" s="487"/>
      <c r="E35" s="487"/>
      <c r="F35" s="487"/>
      <c r="G35" s="487"/>
    </row>
    <row r="36" spans="2:7" ht="25.5">
      <c r="B36" s="487"/>
      <c r="C36" s="487"/>
      <c r="D36" s="487"/>
      <c r="E36" s="487"/>
      <c r="F36" s="487"/>
      <c r="G36" s="487"/>
    </row>
    <row r="37" spans="2:7" ht="25.5">
      <c r="B37" s="487"/>
      <c r="C37" s="487"/>
      <c r="D37" s="487"/>
      <c r="E37" s="487"/>
      <c r="F37" s="487"/>
      <c r="G37" s="487"/>
    </row>
    <row r="38" spans="2:7" ht="25.5">
      <c r="B38" s="487"/>
      <c r="C38" s="487"/>
      <c r="D38" s="487"/>
      <c r="E38" s="487"/>
      <c r="F38" s="487"/>
      <c r="G38" s="487"/>
    </row>
    <row r="39" spans="2:7" ht="25.5">
      <c r="B39" s="487"/>
      <c r="C39" s="487"/>
      <c r="D39" s="487"/>
      <c r="E39" s="487"/>
      <c r="F39" s="487"/>
      <c r="G39" s="487"/>
    </row>
    <row r="40" spans="2:7" ht="25.5">
      <c r="B40" s="487"/>
      <c r="C40" s="487"/>
      <c r="D40" s="487"/>
      <c r="E40" s="487"/>
      <c r="F40" s="487"/>
      <c r="G40" s="487"/>
    </row>
    <row r="41" spans="2:7" ht="25.5">
      <c r="B41" s="487"/>
      <c r="C41" s="487"/>
      <c r="D41" s="487"/>
      <c r="E41" s="487"/>
      <c r="F41" s="487"/>
      <c r="G41" s="487"/>
    </row>
    <row r="42" spans="2:7" ht="25.5">
      <c r="B42" s="487"/>
      <c r="C42" s="487"/>
      <c r="D42" s="487"/>
      <c r="E42" s="487"/>
      <c r="F42" s="487"/>
      <c r="G42" s="487"/>
    </row>
  </sheetData>
  <sheetProtection sheet="1" objects="1" scenarios="1"/>
  <mergeCells count="10">
    <mergeCell ref="G2:K2"/>
    <mergeCell ref="J7:K7"/>
    <mergeCell ref="H7:I7"/>
    <mergeCell ref="B28:F29"/>
    <mergeCell ref="D5:E5"/>
    <mergeCell ref="B31:F32"/>
    <mergeCell ref="J28:K28"/>
    <mergeCell ref="J29:K29"/>
    <mergeCell ref="J31:K31"/>
    <mergeCell ref="J32:K32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73" r:id="rId1"/>
  <headerFooter alignWithMargins="0">
    <oddFooter>&amp;LLEL Schwäbisch Gmünd
&amp;D&amp;C&amp;F&amp;R&amp;A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showZeros="0" zoomScale="75" zoomScaleNormal="75" workbookViewId="0" topLeftCell="A1">
      <selection activeCell="J14" sqref="J14"/>
    </sheetView>
  </sheetViews>
  <sheetFormatPr defaultColWidth="11.421875" defaultRowHeight="12.75"/>
  <cols>
    <col min="1" max="1" width="2.00390625" style="490" customWidth="1"/>
    <col min="2" max="2" width="4.140625" style="490" customWidth="1"/>
    <col min="3" max="3" width="4.28125" style="487" customWidth="1"/>
    <col min="4" max="4" width="11.57421875" style="487" customWidth="1"/>
    <col min="5" max="5" width="7.140625" style="487" customWidth="1"/>
    <col min="6" max="6" width="8.28125" style="487" customWidth="1"/>
    <col min="7" max="7" width="16.28125" style="487" customWidth="1"/>
    <col min="8" max="8" width="15.8515625" style="487" customWidth="1"/>
    <col min="9" max="9" width="23.7109375" style="487" customWidth="1"/>
    <col min="10" max="10" width="12.8515625" style="487" customWidth="1"/>
    <col min="11" max="11" width="22.7109375" style="487" customWidth="1"/>
    <col min="12" max="12" width="11.421875" style="487" customWidth="1"/>
    <col min="13" max="16384" width="11.421875" style="490" customWidth="1"/>
  </cols>
  <sheetData>
    <row r="1" spans="1:12" ht="6" customHeight="1">
      <c r="A1" s="327"/>
      <c r="L1" s="490"/>
    </row>
    <row r="2" spans="2:17" ht="27.75" customHeight="1">
      <c r="B2" s="535" t="s">
        <v>0</v>
      </c>
      <c r="C2" s="490"/>
      <c r="D2" s="536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1" ht="27.75" customHeight="1">
      <c r="B3" s="537" t="str">
        <f>'Seite 1 '!B3</f>
        <v> - Produktionsverfahren Zuchtstutenhaltung -</v>
      </c>
      <c r="C3" s="228"/>
      <c r="D3" s="536"/>
      <c r="K3" s="538"/>
    </row>
    <row r="4" ht="15" customHeight="1"/>
    <row r="5" spans="2:12" ht="32.25" customHeight="1">
      <c r="B5" s="787" t="str">
        <f>'Seite 1 '!I2</f>
        <v>Zuchtstute mit Jungpferdeverkauf (36 Mon. alt)</v>
      </c>
      <c r="C5" s="788"/>
      <c r="D5" s="788"/>
      <c r="E5" s="788"/>
      <c r="F5" s="788"/>
      <c r="G5" s="788"/>
      <c r="H5" s="788"/>
      <c r="I5" s="788"/>
      <c r="J5" s="788"/>
      <c r="K5" s="789"/>
      <c r="L5" s="539"/>
    </row>
    <row r="6" spans="2:12" ht="29.25" customHeight="1">
      <c r="B6" s="540"/>
      <c r="C6" s="541"/>
      <c r="D6" s="542"/>
      <c r="E6" s="541"/>
      <c r="F6" s="543"/>
      <c r="G6" s="543"/>
      <c r="H6" s="543"/>
      <c r="I6" s="543"/>
      <c r="J6" s="543"/>
      <c r="K6" s="543"/>
      <c r="L6" s="539"/>
    </row>
    <row r="7" spans="2:12" ht="30" customHeight="1">
      <c r="B7" s="491"/>
      <c r="C7" s="575" t="s">
        <v>124</v>
      </c>
      <c r="D7" s="790">
        <f>'Seite 1 '!J10</f>
        <v>8500</v>
      </c>
      <c r="E7" s="791"/>
      <c r="F7" s="576" t="s">
        <v>210</v>
      </c>
      <c r="I7" s="596" t="str">
        <f>'Folie 1'!I5</f>
        <v>Abfohlrate:</v>
      </c>
      <c r="J7" s="737">
        <f>'Seite 1 '!I10</f>
        <v>0.7</v>
      </c>
      <c r="K7" s="544"/>
      <c r="L7" s="539"/>
    </row>
    <row r="8" spans="3:12" ht="30" customHeight="1" thickBot="1">
      <c r="C8" s="504"/>
      <c r="D8" s="490"/>
      <c r="E8" s="504"/>
      <c r="F8" s="545"/>
      <c r="G8" s="546"/>
      <c r="H8" s="547"/>
      <c r="I8" s="548"/>
      <c r="J8" s="549"/>
      <c r="K8" s="550"/>
      <c r="L8" s="539"/>
    </row>
    <row r="9" spans="2:12" ht="30" customHeight="1">
      <c r="B9" s="551"/>
      <c r="C9" s="552"/>
      <c r="D9" s="553"/>
      <c r="E9" s="552"/>
      <c r="F9" s="554"/>
      <c r="G9" s="555"/>
      <c r="H9" s="556"/>
      <c r="I9" s="557"/>
      <c r="J9" s="556"/>
      <c r="K9" s="558"/>
      <c r="L9" s="539"/>
    </row>
    <row r="10" spans="1:12" ht="30" customHeight="1">
      <c r="A10" s="327"/>
      <c r="B10" s="559"/>
      <c r="C10" s="560" t="s">
        <v>144</v>
      </c>
      <c r="D10" s="514"/>
      <c r="E10" s="514"/>
      <c r="F10" s="514"/>
      <c r="G10" s="514"/>
      <c r="H10" s="514"/>
      <c r="I10" s="294"/>
      <c r="J10" s="514"/>
      <c r="K10" s="561"/>
      <c r="L10" s="490"/>
    </row>
    <row r="11" spans="2:12" ht="30" customHeight="1">
      <c r="B11" s="559"/>
      <c r="C11" s="514"/>
      <c r="D11" s="528" t="s">
        <v>179</v>
      </c>
      <c r="E11" s="514"/>
      <c r="F11" s="514"/>
      <c r="G11" s="514"/>
      <c r="H11" s="514"/>
      <c r="I11" s="294"/>
      <c r="J11" s="566">
        <f>'Seite 3'!L25</f>
        <v>12753.728571428572</v>
      </c>
      <c r="K11" s="561" t="str">
        <f>F7</f>
        <v>€ / Jungpferd</v>
      </c>
      <c r="L11" s="489"/>
    </row>
    <row r="12" spans="2:12" ht="31.5" customHeight="1" hidden="1">
      <c r="B12" s="559"/>
      <c r="C12" s="514"/>
      <c r="D12" s="528" t="s">
        <v>150</v>
      </c>
      <c r="E12" s="528"/>
      <c r="F12" s="528"/>
      <c r="G12" s="528"/>
      <c r="H12" s="528"/>
      <c r="I12" s="294"/>
      <c r="J12" s="582" t="e">
        <f>'Seite 3'!L25+#REF!</f>
        <v>#REF!</v>
      </c>
      <c r="K12" s="561">
        <f>H8</f>
        <v>0</v>
      </c>
      <c r="L12" s="504"/>
    </row>
    <row r="13" spans="2:12" ht="30" customHeight="1">
      <c r="B13" s="559"/>
      <c r="C13" s="294"/>
      <c r="D13" s="598" t="s">
        <v>180</v>
      </c>
      <c r="E13" s="294"/>
      <c r="F13" s="294"/>
      <c r="G13" s="294"/>
      <c r="H13" s="294"/>
      <c r="I13" s="294"/>
      <c r="J13" s="566">
        <f>J11-'Seite 3'!L9</f>
        <v>9636.585714285715</v>
      </c>
      <c r="K13" s="597" t="str">
        <f>F7</f>
        <v>€ / Jungpferd</v>
      </c>
      <c r="L13" s="489"/>
    </row>
    <row r="14" spans="2:12" ht="57.75" customHeight="1">
      <c r="B14" s="559"/>
      <c r="C14" s="563" t="str">
        <f>'Seite 3'!C27</f>
        <v> Kalkulatorisches Betriebszweigergebnis</v>
      </c>
      <c r="D14" s="564"/>
      <c r="E14" s="565"/>
      <c r="F14" s="565"/>
      <c r="G14" s="565"/>
      <c r="H14" s="565"/>
      <c r="I14" s="294"/>
      <c r="J14" s="566">
        <f>'Seite 3'!J27</f>
        <v>-2977.6099999999997</v>
      </c>
      <c r="K14" s="561" t="s">
        <v>146</v>
      </c>
      <c r="L14" s="489"/>
    </row>
    <row r="15" spans="2:12" ht="9" customHeight="1">
      <c r="B15" s="559"/>
      <c r="C15" s="294"/>
      <c r="D15" s="294"/>
      <c r="E15" s="294"/>
      <c r="F15" s="294"/>
      <c r="G15" s="294"/>
      <c r="H15" s="294"/>
      <c r="I15" s="294"/>
      <c r="J15" s="294"/>
      <c r="K15" s="579"/>
      <c r="L15" s="567"/>
    </row>
    <row r="16" spans="1:12" ht="38.25" customHeight="1">
      <c r="A16" s="327"/>
      <c r="B16" s="559"/>
      <c r="C16" s="560" t="s">
        <v>125</v>
      </c>
      <c r="D16" s="514"/>
      <c r="E16" s="514"/>
      <c r="F16" s="514"/>
      <c r="G16" s="514"/>
      <c r="H16" s="514"/>
      <c r="I16" s="294"/>
      <c r="J16" s="514"/>
      <c r="K16" s="561"/>
      <c r="L16" s="504"/>
    </row>
    <row r="17" spans="2:12" ht="33" customHeight="1">
      <c r="B17" s="559"/>
      <c r="C17" s="514"/>
      <c r="D17" s="514" t="s">
        <v>181</v>
      </c>
      <c r="E17" s="514"/>
      <c r="F17" s="514"/>
      <c r="G17" s="514"/>
      <c r="H17" s="514"/>
      <c r="I17" s="294"/>
      <c r="J17" s="562">
        <f>'Seite 3'!J31</f>
        <v>-4.563728489483745</v>
      </c>
      <c r="K17" s="561" t="s">
        <v>132</v>
      </c>
      <c r="L17" s="504"/>
    </row>
    <row r="18" spans="2:12" ht="31.5" customHeight="1">
      <c r="B18" s="559"/>
      <c r="C18" s="514"/>
      <c r="D18" s="514" t="s">
        <v>126</v>
      </c>
      <c r="E18" s="514"/>
      <c r="F18" s="514"/>
      <c r="G18" s="514"/>
      <c r="H18" s="514"/>
      <c r="I18" s="294"/>
      <c r="J18" s="566">
        <f>'Seite 3'!J32</f>
        <v>-2475.6099999999997</v>
      </c>
      <c r="K18" s="561" t="s">
        <v>146</v>
      </c>
      <c r="L18" s="504"/>
    </row>
    <row r="19" spans="2:12" ht="31.5" customHeight="1">
      <c r="B19" s="559"/>
      <c r="C19" s="514"/>
      <c r="D19" s="568" t="s">
        <v>159</v>
      </c>
      <c r="E19" s="568"/>
      <c r="F19" s="568"/>
      <c r="G19" s="568"/>
      <c r="H19" s="568"/>
      <c r="I19" s="319"/>
      <c r="J19" s="569">
        <f>'Seite 3'!J33</f>
        <v>-33041.009960159354</v>
      </c>
      <c r="K19" s="570" t="s">
        <v>146</v>
      </c>
      <c r="L19" s="504"/>
    </row>
    <row r="20" spans="2:12" ht="31.5" customHeight="1" hidden="1">
      <c r="B20" s="559"/>
      <c r="C20" s="514"/>
      <c r="D20" s="514" t="s">
        <v>127</v>
      </c>
      <c r="E20" s="514"/>
      <c r="F20" s="514"/>
      <c r="G20" s="514"/>
      <c r="H20" s="514"/>
      <c r="I20" s="571"/>
      <c r="J20" s="578" t="e">
        <f>IF('Seite 3'!#REF!=0,"----",'Seite 3'!#REF!)</f>
        <v>#REF!</v>
      </c>
      <c r="K20" s="570" t="s">
        <v>131</v>
      </c>
      <c r="L20" s="504"/>
    </row>
    <row r="21" spans="2:12" ht="30" customHeight="1" hidden="1">
      <c r="B21" s="559"/>
      <c r="C21" s="560"/>
      <c r="D21" s="514"/>
      <c r="E21" s="514"/>
      <c r="F21" s="514"/>
      <c r="G21" s="514"/>
      <c r="H21" s="514"/>
      <c r="I21" s="514"/>
      <c r="J21" s="514"/>
      <c r="K21" s="572"/>
      <c r="L21" s="567"/>
    </row>
    <row r="22" spans="1:12" ht="58.5" customHeight="1">
      <c r="A22" s="327"/>
      <c r="B22" s="559"/>
      <c r="C22" s="563" t="s">
        <v>128</v>
      </c>
      <c r="D22" s="514"/>
      <c r="E22" s="514"/>
      <c r="F22" s="514"/>
      <c r="G22" s="514"/>
      <c r="H22" s="514"/>
      <c r="I22" s="294"/>
      <c r="J22" s="566"/>
      <c r="K22" s="561"/>
      <c r="L22" s="504"/>
    </row>
    <row r="23" spans="2:12" ht="22.5" customHeight="1">
      <c r="B23" s="559"/>
      <c r="C23" s="514"/>
      <c r="D23" s="514" t="str">
        <f>D17</f>
        <v>Verwertung der Arbeit der ständigen AK</v>
      </c>
      <c r="E23" s="514"/>
      <c r="F23" s="514"/>
      <c r="G23" s="514"/>
      <c r="H23" s="514"/>
      <c r="I23" s="294"/>
      <c r="J23" s="578">
        <f>'Seite 3'!J35</f>
        <v>-1.68418738049713</v>
      </c>
      <c r="K23" s="561" t="str">
        <f>K17</f>
        <v> € / AKh</v>
      </c>
      <c r="L23" s="504"/>
    </row>
    <row r="24" spans="2:12" ht="33" customHeight="1" hidden="1">
      <c r="B24" s="559"/>
      <c r="C24" s="560"/>
      <c r="D24" s="514" t="s">
        <v>129</v>
      </c>
      <c r="E24" s="514"/>
      <c r="F24" s="514"/>
      <c r="G24" s="514"/>
      <c r="H24" s="514"/>
      <c r="I24" s="294"/>
      <c r="J24" s="578" t="e">
        <f>IF('Seite 3'!L37=0,"----",'Seite 3'!L37)</f>
        <v>#REF!</v>
      </c>
      <c r="K24" s="561" t="str">
        <f>K20</f>
        <v> € / kg</v>
      </c>
      <c r="L24" s="504"/>
    </row>
    <row r="25" spans="2:12" ht="30" customHeight="1" hidden="1">
      <c r="B25" s="559"/>
      <c r="C25" s="563"/>
      <c r="D25" s="514"/>
      <c r="E25" s="514"/>
      <c r="F25" s="514"/>
      <c r="G25" s="514"/>
      <c r="H25" s="514"/>
      <c r="I25" s="294"/>
      <c r="J25" s="566"/>
      <c r="K25" s="561"/>
      <c r="L25" s="567"/>
    </row>
    <row r="26" spans="2:12" ht="31.5" customHeight="1" hidden="1">
      <c r="B26" s="559"/>
      <c r="C26" s="560" t="s">
        <v>130</v>
      </c>
      <c r="D26" s="514"/>
      <c r="E26" s="514"/>
      <c r="F26" s="514"/>
      <c r="G26" s="514"/>
      <c r="H26" s="514"/>
      <c r="I26" s="514"/>
      <c r="J26" s="514"/>
      <c r="K26" s="572"/>
      <c r="L26" s="504"/>
    </row>
    <row r="27" spans="2:12" ht="33" customHeight="1" hidden="1">
      <c r="B27" s="559"/>
      <c r="C27" s="564"/>
      <c r="D27" s="514" t="s">
        <v>129</v>
      </c>
      <c r="E27" s="564"/>
      <c r="F27" s="564"/>
      <c r="G27" s="564"/>
      <c r="H27" s="564"/>
      <c r="I27" s="564"/>
      <c r="J27" s="578" t="e">
        <f>IF('Seite 3'!L39=0,"----",'Seite 3'!L39)</f>
        <v>#REF!</v>
      </c>
      <c r="K27" s="561" t="str">
        <f>K24</f>
        <v> € / kg</v>
      </c>
      <c r="L27" s="504"/>
    </row>
    <row r="28" spans="2:12" ht="11.25" customHeight="1" thickBot="1">
      <c r="B28" s="573"/>
      <c r="C28" s="577"/>
      <c r="D28" s="577"/>
      <c r="E28" s="577"/>
      <c r="F28" s="577"/>
      <c r="G28" s="577"/>
      <c r="H28" s="577"/>
      <c r="I28" s="577"/>
      <c r="J28" s="577"/>
      <c r="K28" s="574"/>
      <c r="L28" s="504"/>
    </row>
    <row r="29" spans="11:12" ht="25.5">
      <c r="K29" s="534"/>
      <c r="L29" s="504"/>
    </row>
    <row r="30" ht="25.5">
      <c r="L30" s="504"/>
    </row>
    <row r="31" ht="25.5">
      <c r="L31" s="504"/>
    </row>
  </sheetData>
  <sheetProtection sheet="1" objects="1" scenarios="1"/>
  <mergeCells count="2">
    <mergeCell ref="B5:K5"/>
    <mergeCell ref="D7:E7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74" r:id="rId1"/>
  <headerFooter alignWithMargins="0">
    <oddFooter>&amp;LLEL Schwäbisch Gmünd
&amp;D&amp;C&amp;F&amp;R&amp;A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vk_marktfrucht</dc:title>
  <dc:subject>Vollkostenrechnung Marktfrüchte</dc:subject>
  <dc:creator>Dr. Segger, Dr. Klotz, Schied</dc:creator>
  <cp:keywords/>
  <dc:description>07/1997</dc:description>
  <cp:lastModifiedBy>SeggerV</cp:lastModifiedBy>
  <cp:lastPrinted>2010-10-05T07:11:24Z</cp:lastPrinted>
  <dcterms:created xsi:type="dcterms:W3CDTF">2002-12-17T12:48:29Z</dcterms:created>
  <dcterms:modified xsi:type="dcterms:W3CDTF">2010-10-05T07:43:59Z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